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ortedfoundation225.sharepoint.com/sites/General/Documents/Members/Evan's working file/Project Folder/How-to/"/>
    </mc:Choice>
  </mc:AlternateContent>
  <xr:revisionPtr revIDLastSave="0" documentId="13_ncr:1_{937B1754-A264-4DDE-B95F-7AB783C4D50C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 Reserves no deferrals" sheetId="64" state="hidden" r:id="rId1"/>
    <sheet name="Cash flow proforma 20-21" sheetId="33" r:id="rId2"/>
    <sheet name="Sheet1" sheetId="65" state="hidden" r:id="rId3"/>
    <sheet name="NEW MAIN" sheetId="60" state="hidden" r:id="rId4"/>
    <sheet name="Summary and scenarios" sheetId="57" state="hidden" r:id="rId5"/>
    <sheet name="DATA" sheetId="62" state="hidden" r:id="rId6"/>
    <sheet name="Jul 18" sheetId="32" state="hidden" r:id="rId7"/>
    <sheet name="June 18" sheetId="28" state="hidden" r:id="rId8"/>
    <sheet name="May 18" sheetId="27" state="hidden" r:id="rId9"/>
    <sheet name="Apr Zoom" sheetId="31" state="hidden" r:id="rId10"/>
    <sheet name="Apr 18" sheetId="25" state="hidden" r:id="rId11"/>
    <sheet name="Mar Zoom" sheetId="26" state="hidden" r:id="rId12"/>
    <sheet name="Mar 18" sheetId="20" state="hidden" r:id="rId13"/>
    <sheet name="Feb Zoom" sheetId="24" state="hidden" r:id="rId14"/>
    <sheet name="Feb 18" sheetId="19" state="hidden" r:id="rId15"/>
    <sheet name="Jan Zoom" sheetId="23" state="hidden" r:id="rId16"/>
    <sheet name="Jan 18" sheetId="17" state="hidden" r:id="rId17"/>
    <sheet name="Dec Zoom" sheetId="22" state="hidden" r:id="rId18"/>
    <sheet name="Dec" sheetId="14" state="hidden" r:id="rId19"/>
    <sheet name="Nov" sheetId="13" state="hidden" r:id="rId20"/>
    <sheet name="Oct" sheetId="12" state="hidden" r:id="rId21"/>
    <sheet name="May" sheetId="5" state="hidden" r:id="rId22"/>
    <sheet name="Mar" sheetId="3" state="hidden" r:id="rId23"/>
    <sheet name="Feb" sheetId="2" state="hidden" r:id="rId24"/>
    <sheet name="Jan" sheetId="1" state="hidden" r:id="rId25"/>
    <sheet name="Qtr cf report" sheetId="56" state="hidden" r:id="rId26"/>
    <sheet name="Graphs" sheetId="29" state="hidden" r:id="rId27"/>
    <sheet name="MAIN" sheetId="61" state="hidden" r:id="rId28"/>
  </sheets>
  <externalReferences>
    <externalReference r:id="rId29"/>
  </externalReferences>
  <definedNames>
    <definedName name="_xlnm.Print_Area" localSheetId="0">' Reserves no deferrals'!$A$1:$Z$46</definedName>
    <definedName name="_xlnm.Print_Area" localSheetId="1">'Cash flow proforma 20-21'!$A$1:$N$60</definedName>
    <definedName name="_xlnm.Print_Area" localSheetId="4">'Summary and scenarios'!$A$1:$O$36</definedName>
    <definedName name="_xlnm.Print_Titles" localSheetId="1">'Cash flow proforma 20-21'!$A:$A,'Cash flow proforma 20-21'!$2:$6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6" i="33" l="1"/>
  <c r="N55" i="33"/>
  <c r="N54" i="33"/>
  <c r="N53" i="33"/>
  <c r="N52" i="33"/>
  <c r="N7" i="33"/>
  <c r="P7" i="33"/>
  <c r="N30" i="33"/>
  <c r="N39" i="33"/>
  <c r="N38" i="33"/>
  <c r="N37" i="33"/>
  <c r="M40" i="33"/>
  <c r="L40" i="33"/>
  <c r="K40" i="33"/>
  <c r="J40" i="33"/>
  <c r="I40" i="33"/>
  <c r="H40" i="33"/>
  <c r="G40" i="33"/>
  <c r="F40" i="33"/>
  <c r="E40" i="33"/>
  <c r="D40" i="33"/>
  <c r="C40" i="33"/>
  <c r="B40" i="33"/>
  <c r="P40" i="33" l="1"/>
  <c r="N51" i="33"/>
  <c r="N50" i="33"/>
  <c r="N48" i="33"/>
  <c r="N47" i="33"/>
  <c r="N46" i="33"/>
  <c r="N45" i="33"/>
  <c r="N17" i="33" l="1"/>
  <c r="N16" i="33" l="1"/>
  <c r="N15" i="33" l="1"/>
  <c r="N36" i="33" l="1"/>
  <c r="N35" i="33"/>
  <c r="N21" i="33"/>
  <c r="N19" i="33"/>
  <c r="N18" i="33"/>
  <c r="N14" i="33"/>
  <c r="N40" i="33" l="1"/>
  <c r="L57" i="33"/>
  <c r="K57" i="33"/>
  <c r="N20" i="33" l="1"/>
  <c r="N22" i="33" l="1"/>
  <c r="K24" i="33" l="1"/>
  <c r="K8" i="33" s="1"/>
  <c r="M57" i="33" l="1"/>
  <c r="L24" i="33"/>
  <c r="L8" i="33" l="1"/>
  <c r="M24" i="33"/>
  <c r="M8" i="33" s="1"/>
  <c r="C57" i="33" l="1"/>
  <c r="H57" i="33"/>
  <c r="D57" i="33"/>
  <c r="F57" i="33"/>
  <c r="J57" i="33"/>
  <c r="G57" i="33"/>
  <c r="E57" i="33"/>
  <c r="B57" i="33"/>
  <c r="N49" i="33" l="1"/>
  <c r="I57" i="33" l="1"/>
  <c r="P57" i="33" s="1"/>
  <c r="N57" i="33" l="1"/>
  <c r="J24" i="33"/>
  <c r="I24" i="33"/>
  <c r="H24" i="33"/>
  <c r="G24" i="33"/>
  <c r="F24" i="33"/>
  <c r="N24" i="33" l="1"/>
  <c r="P8" i="33" s="1"/>
  <c r="F8" i="33"/>
  <c r="G8" i="33"/>
  <c r="J8" i="33"/>
  <c r="H8" i="33"/>
  <c r="I8" i="33"/>
  <c r="B24" i="33" l="1"/>
  <c r="B8" i="33" l="1"/>
  <c r="C24" i="33"/>
  <c r="C8" i="33" l="1"/>
  <c r="D24" i="33" l="1"/>
  <c r="E24" i="33"/>
  <c r="P24" i="33" l="1"/>
  <c r="E8" i="33"/>
  <c r="D8" i="33"/>
  <c r="N28" i="33" l="1"/>
  <c r="N8" i="33"/>
  <c r="Y11" i="64" l="1"/>
  <c r="Y50" i="64" s="1"/>
  <c r="Y57" i="64" s="1"/>
  <c r="X12" i="64"/>
  <c r="W12" i="64"/>
  <c r="T12" i="64"/>
  <c r="L11" i="64"/>
  <c r="E6" i="57"/>
  <c r="E21" i="57" s="1"/>
  <c r="AA8" i="64"/>
  <c r="H38" i="64"/>
  <c r="H41" i="64" s="1"/>
  <c r="A74" i="64"/>
  <c r="A73" i="64"/>
  <c r="A71" i="64"/>
  <c r="G68" i="64"/>
  <c r="H68" i="64" s="1"/>
  <c r="G67" i="64"/>
  <c r="H67" i="64" s="1"/>
  <c r="G66" i="64"/>
  <c r="H66" i="64" s="1"/>
  <c r="G49" i="64"/>
  <c r="G56" i="64" s="1"/>
  <c r="G41" i="64"/>
  <c r="AB19" i="64"/>
  <c r="AB17" i="64"/>
  <c r="AB12" i="64"/>
  <c r="K12" i="64"/>
  <c r="I12" i="64"/>
  <c r="H12" i="64"/>
  <c r="G12" i="64" s="1"/>
  <c r="AB11" i="64"/>
  <c r="K11" i="64"/>
  <c r="AB20" i="64"/>
  <c r="G50" i="64"/>
  <c r="AB16" i="64"/>
  <c r="G57" i="64"/>
  <c r="AE28" i="64"/>
  <c r="AB15" i="64"/>
  <c r="F14" i="57"/>
  <c r="G8" i="60"/>
  <c r="G10" i="57"/>
  <c r="H10" i="57"/>
  <c r="I10" i="57"/>
  <c r="K8" i="60"/>
  <c r="J10" i="57" s="1"/>
  <c r="L8" i="60"/>
  <c r="K10" i="57" s="1"/>
  <c r="L10" i="57"/>
  <c r="N8" i="60"/>
  <c r="M10" i="57" s="1"/>
  <c r="N10" i="57"/>
  <c r="P8" i="60"/>
  <c r="O10" i="57" s="1"/>
  <c r="K7" i="60"/>
  <c r="L7" i="60"/>
  <c r="K9" i="57" s="1"/>
  <c r="K26" i="57" s="1"/>
  <c r="K33" i="57" s="1"/>
  <c r="H7" i="60"/>
  <c r="G9" i="57" s="1"/>
  <c r="J7" i="60"/>
  <c r="J9" i="60" s="1"/>
  <c r="I7" i="60"/>
  <c r="P13" i="60"/>
  <c r="Y51" i="64" s="1"/>
  <c r="O13" i="60"/>
  <c r="W51" i="64" s="1"/>
  <c r="Y58" i="64" s="1"/>
  <c r="N13" i="60"/>
  <c r="U51" i="64" s="1"/>
  <c r="W58" i="64" s="1"/>
  <c r="M13" i="60"/>
  <c r="S51" i="64" s="1"/>
  <c r="U58" i="64" s="1"/>
  <c r="G13" i="60"/>
  <c r="G51" i="64" s="1"/>
  <c r="U14" i="60"/>
  <c r="A36" i="57"/>
  <c r="A32" i="57"/>
  <c r="C27" i="57"/>
  <c r="C34" i="57" s="1"/>
  <c r="B27" i="57"/>
  <c r="B34" i="57" s="1"/>
  <c r="O9" i="57"/>
  <c r="N9" i="57"/>
  <c r="M9" i="57"/>
  <c r="M26" i="57" s="1"/>
  <c r="M33" i="57" s="1"/>
  <c r="L9" i="57"/>
  <c r="L11" i="57" s="1"/>
  <c r="H9" i="57"/>
  <c r="H26" i="57" s="1"/>
  <c r="F9" i="57"/>
  <c r="F26" i="57" s="1"/>
  <c r="F33" i="57" s="1"/>
  <c r="G33" i="61"/>
  <c r="F33" i="61"/>
  <c r="E33" i="61"/>
  <c r="P31" i="61"/>
  <c r="O31" i="61"/>
  <c r="N31" i="61"/>
  <c r="M31" i="61"/>
  <c r="P33" i="61" s="1"/>
  <c r="L31" i="61"/>
  <c r="O33" i="61"/>
  <c r="K31" i="61"/>
  <c r="N33" i="61" s="1"/>
  <c r="J31" i="61"/>
  <c r="M33" i="61" s="1"/>
  <c r="I31" i="61"/>
  <c r="L33" i="61" s="1"/>
  <c r="H31" i="61"/>
  <c r="K33" i="61"/>
  <c r="G31" i="61"/>
  <c r="J33" i="61" s="1"/>
  <c r="F31" i="61"/>
  <c r="I33" i="61" s="1"/>
  <c r="E31" i="61"/>
  <c r="H33" i="61" s="1"/>
  <c r="N25" i="61"/>
  <c r="O27" i="61" s="1"/>
  <c r="M25" i="61"/>
  <c r="N27" i="61" s="1"/>
  <c r="J25" i="61"/>
  <c r="K27" i="61" s="1"/>
  <c r="I25" i="61"/>
  <c r="J27" i="61" s="1"/>
  <c r="F25" i="61"/>
  <c r="G27" i="61" s="1"/>
  <c r="E25" i="61"/>
  <c r="F27" i="61" s="1"/>
  <c r="E27" i="61"/>
  <c r="P25" i="61"/>
  <c r="O25" i="61"/>
  <c r="P27" i="61" s="1"/>
  <c r="L25" i="61"/>
  <c r="M27" i="61"/>
  <c r="K25" i="61"/>
  <c r="L27" i="61" s="1"/>
  <c r="H25" i="61"/>
  <c r="I27" i="61" s="1"/>
  <c r="G25" i="61"/>
  <c r="H27" i="61" s="1"/>
  <c r="G21" i="61"/>
  <c r="F21" i="61"/>
  <c r="E21" i="61"/>
  <c r="P19" i="61"/>
  <c r="O19" i="61"/>
  <c r="N19" i="61"/>
  <c r="M19" i="61"/>
  <c r="P21" i="61" s="1"/>
  <c r="L19" i="61"/>
  <c r="O21" i="61"/>
  <c r="K19" i="61"/>
  <c r="N21" i="61" s="1"/>
  <c r="J19" i="61"/>
  <c r="M21" i="61" s="1"/>
  <c r="I19" i="61"/>
  <c r="L21" i="61" s="1"/>
  <c r="H19" i="61"/>
  <c r="K21" i="61" s="1"/>
  <c r="G19" i="61"/>
  <c r="J21" i="61" s="1"/>
  <c r="F19" i="61"/>
  <c r="I21" i="61"/>
  <c r="E19" i="61"/>
  <c r="H21" i="61" s="1"/>
  <c r="O13" i="61"/>
  <c r="O15" i="61" s="1"/>
  <c r="M13" i="61"/>
  <c r="M15" i="61" s="1"/>
  <c r="K13" i="61"/>
  <c r="K15" i="61" s="1"/>
  <c r="I13" i="61"/>
  <c r="I15" i="61" s="1"/>
  <c r="G13" i="61"/>
  <c r="G15" i="61" s="1"/>
  <c r="E13" i="61"/>
  <c r="P13" i="61"/>
  <c r="P15" i="61" s="1"/>
  <c r="N13" i="61"/>
  <c r="N15" i="61" s="1"/>
  <c r="L13" i="61"/>
  <c r="L15" i="61" s="1"/>
  <c r="J13" i="61"/>
  <c r="J15" i="61" s="1"/>
  <c r="H13" i="61"/>
  <c r="H15" i="61" s="1"/>
  <c r="F13" i="61"/>
  <c r="F15" i="61" s="1"/>
  <c r="P9" i="61"/>
  <c r="O9" i="61"/>
  <c r="N9" i="61"/>
  <c r="M9" i="61"/>
  <c r="L9" i="61"/>
  <c r="K9" i="61"/>
  <c r="J9" i="61"/>
  <c r="I9" i="61"/>
  <c r="H9" i="61"/>
  <c r="G9" i="61"/>
  <c r="F9" i="61"/>
  <c r="E9" i="61"/>
  <c r="R8" i="61"/>
  <c r="R7" i="61"/>
  <c r="S49" i="60"/>
  <c r="W49" i="60" s="1"/>
  <c r="F37" i="60"/>
  <c r="F39" i="60" s="1"/>
  <c r="F41" i="60" s="1"/>
  <c r="P37" i="60"/>
  <c r="P39" i="60" s="1"/>
  <c r="O37" i="60"/>
  <c r="O39" i="60" s="1"/>
  <c r="O41" i="60" s="1"/>
  <c r="N37" i="60"/>
  <c r="N39" i="60" s="1"/>
  <c r="N41" i="60" s="1"/>
  <c r="N42" i="60" s="1"/>
  <c r="M37" i="60"/>
  <c r="M39" i="60" s="1"/>
  <c r="M41" i="60" s="1"/>
  <c r="L37" i="60"/>
  <c r="L39" i="60" s="1"/>
  <c r="H37" i="60"/>
  <c r="H39" i="60" s="1"/>
  <c r="H41" i="60" s="1"/>
  <c r="G37" i="60"/>
  <c r="G39" i="60" s="1"/>
  <c r="E37" i="60"/>
  <c r="E39" i="60" s="1"/>
  <c r="E41" i="60" s="1"/>
  <c r="E31" i="60"/>
  <c r="E33" i="60"/>
  <c r="G31" i="60"/>
  <c r="G33" i="60" s="1"/>
  <c r="F31" i="60"/>
  <c r="P29" i="60"/>
  <c r="O29" i="60"/>
  <c r="N29" i="60"/>
  <c r="M29" i="60"/>
  <c r="P31" i="60" s="1"/>
  <c r="P33" i="60" s="1"/>
  <c r="I29" i="60"/>
  <c r="L31" i="60" s="1"/>
  <c r="G29" i="60"/>
  <c r="J31" i="60" s="1"/>
  <c r="J33" i="60" s="1"/>
  <c r="J34" i="60" s="1"/>
  <c r="F29" i="60"/>
  <c r="I31" i="60" s="1"/>
  <c r="I33" i="60" s="1"/>
  <c r="I34" i="60" s="1"/>
  <c r="I9" i="60"/>
  <c r="E29" i="60"/>
  <c r="H31" i="60" s="1"/>
  <c r="H33" i="60" s="1"/>
  <c r="M21" i="60"/>
  <c r="N23" i="60" s="1"/>
  <c r="N25" i="60"/>
  <c r="E23" i="60"/>
  <c r="E25" i="60" s="1"/>
  <c r="P21" i="60"/>
  <c r="O21" i="60"/>
  <c r="P23" i="60"/>
  <c r="P25" i="60" s="1"/>
  <c r="N21" i="60"/>
  <c r="O23" i="60" s="1"/>
  <c r="O25" i="60" s="1"/>
  <c r="K21" i="60"/>
  <c r="L23" i="60"/>
  <c r="L25" i="60" s="1"/>
  <c r="J21" i="60"/>
  <c r="K23" i="60" s="1"/>
  <c r="K25" i="60" s="1"/>
  <c r="G21" i="60"/>
  <c r="H23" i="60" s="1"/>
  <c r="H25" i="60" s="1"/>
  <c r="F21" i="60"/>
  <c r="G23" i="60" s="1"/>
  <c r="E21" i="60"/>
  <c r="F23" i="60" s="1"/>
  <c r="F25" i="60" s="1"/>
  <c r="E15" i="60"/>
  <c r="E9" i="60"/>
  <c r="N15" i="60"/>
  <c r="N17" i="60"/>
  <c r="J13" i="60"/>
  <c r="M51" i="64" s="1"/>
  <c r="O58" i="64" s="1"/>
  <c r="I13" i="60"/>
  <c r="K51" i="64" s="1"/>
  <c r="M58" i="64" s="1"/>
  <c r="F13" i="60"/>
  <c r="G15" i="60"/>
  <c r="G17" i="60" s="1"/>
  <c r="E13" i="60"/>
  <c r="F15" i="60" s="1"/>
  <c r="F17" i="60" s="1"/>
  <c r="O9" i="60"/>
  <c r="N9" i="60"/>
  <c r="M9" i="60"/>
  <c r="F9" i="60"/>
  <c r="R7" i="60"/>
  <c r="J9" i="56"/>
  <c r="J18" i="56"/>
  <c r="L18" i="56" s="1"/>
  <c r="G16" i="56"/>
  <c r="G20" i="56" s="1"/>
  <c r="D11" i="56"/>
  <c r="J11" i="56" s="1"/>
  <c r="J10" i="56"/>
  <c r="J8" i="56"/>
  <c r="D6" i="56"/>
  <c r="J6" i="56" s="1"/>
  <c r="D16" i="27"/>
  <c r="E16" i="27" s="1"/>
  <c r="F16" i="27" s="1"/>
  <c r="D22" i="27"/>
  <c r="E22" i="27" s="1"/>
  <c r="F22" i="27" s="1"/>
  <c r="D9" i="13"/>
  <c r="E9" i="13" s="1"/>
  <c r="F9" i="13" s="1"/>
  <c r="F12" i="13"/>
  <c r="D28" i="13"/>
  <c r="E28" i="13" s="1"/>
  <c r="F28" i="13" s="1"/>
  <c r="D29" i="13"/>
  <c r="E29" i="13"/>
  <c r="F29" i="13" s="1"/>
  <c r="D30" i="13"/>
  <c r="E30" i="13" s="1"/>
  <c r="C31" i="13"/>
  <c r="D31" i="13" s="1"/>
  <c r="D32" i="13"/>
  <c r="E32" i="13" s="1"/>
  <c r="F32" i="13" s="1"/>
  <c r="C43" i="13"/>
  <c r="F43" i="13" s="1"/>
  <c r="D31" i="14"/>
  <c r="E31" i="14" s="1"/>
  <c r="F31" i="14" s="1"/>
  <c r="C32" i="14"/>
  <c r="D32" i="14" s="1"/>
  <c r="E32" i="14" s="1"/>
  <c r="C33" i="14"/>
  <c r="D33" i="14" s="1"/>
  <c r="E33" i="14" s="1"/>
  <c r="F33" i="14" s="1"/>
  <c r="D34" i="14"/>
  <c r="E34" i="14" s="1"/>
  <c r="F34" i="14" s="1"/>
  <c r="D41" i="14"/>
  <c r="E41" i="14" s="1"/>
  <c r="F41" i="14" s="1"/>
  <c r="D42" i="14"/>
  <c r="E42" i="14" s="1"/>
  <c r="F42" i="14" s="1"/>
  <c r="D43" i="14"/>
  <c r="E43" i="14" s="1"/>
  <c r="F43" i="14" s="1"/>
  <c r="D44" i="14"/>
  <c r="E44" i="14" s="1"/>
  <c r="F44" i="14" s="1"/>
  <c r="D45" i="14"/>
  <c r="E45" i="14" s="1"/>
  <c r="F45" i="14" s="1"/>
  <c r="D46" i="14"/>
  <c r="E46" i="14" s="1"/>
  <c r="F46" i="14" s="1"/>
  <c r="E11" i="17"/>
  <c r="F11" i="17" s="1"/>
  <c r="E26" i="17"/>
  <c r="F26" i="17" s="1"/>
  <c r="E27" i="17"/>
  <c r="F27" i="17" s="1"/>
  <c r="C33" i="17"/>
  <c r="C34" i="17"/>
  <c r="D34" i="17" s="1"/>
  <c r="E34" i="17" s="1"/>
  <c r="D35" i="17"/>
  <c r="E35" i="17" s="1"/>
  <c r="F35" i="17" s="1"/>
  <c r="D36" i="17"/>
  <c r="E36" i="17" s="1"/>
  <c r="F36" i="17" s="1"/>
  <c r="D37" i="17"/>
  <c r="E37" i="17" s="1"/>
  <c r="F37" i="17" s="1"/>
  <c r="L28" i="23"/>
  <c r="L32" i="23" s="1"/>
  <c r="M28" i="23"/>
  <c r="M32" i="23" s="1"/>
  <c r="F30" i="23" s="1"/>
  <c r="F31" i="23" s="1"/>
  <c r="N28" i="23"/>
  <c r="N32" i="23" s="1"/>
  <c r="G30" i="23" s="1"/>
  <c r="G31" i="23" s="1"/>
  <c r="O30" i="23"/>
  <c r="O28" i="23"/>
  <c r="D17" i="19"/>
  <c r="D23" i="19"/>
  <c r="E23" i="19" s="1"/>
  <c r="F23" i="19" s="1"/>
  <c r="C26" i="19"/>
  <c r="D26" i="19" s="1"/>
  <c r="E26" i="19" s="1"/>
  <c r="F26" i="19" s="1"/>
  <c r="C27" i="19"/>
  <c r="D29" i="19"/>
  <c r="E29" i="19" s="1"/>
  <c r="F29" i="19" s="1"/>
  <c r="D30" i="19"/>
  <c r="E30" i="19" s="1"/>
  <c r="F30" i="19" s="1"/>
  <c r="D31" i="19"/>
  <c r="E31" i="19" s="1"/>
  <c r="F31" i="19" s="1"/>
  <c r="D32" i="19"/>
  <c r="E32" i="19" s="1"/>
  <c r="F32" i="19"/>
  <c r="D39" i="19"/>
  <c r="E39" i="19" s="1"/>
  <c r="F39" i="19" s="1"/>
  <c r="N36" i="24"/>
  <c r="N40" i="24" s="1"/>
  <c r="F39" i="24" s="1"/>
  <c r="F40" i="24" s="1"/>
  <c r="C40" i="19" s="1"/>
  <c r="O36" i="24"/>
  <c r="O40" i="24"/>
  <c r="G39" i="24" s="1"/>
  <c r="G40" i="24" s="1"/>
  <c r="P36" i="24"/>
  <c r="P40" i="24" s="1"/>
  <c r="H39" i="24" s="1"/>
  <c r="H40" i="24" s="1"/>
  <c r="Q36" i="24"/>
  <c r="Q40" i="24" s="1"/>
  <c r="I39" i="24" s="1"/>
  <c r="I40" i="24" s="1"/>
  <c r="I47" i="24" s="1"/>
  <c r="M30" i="24"/>
  <c r="M36" i="24"/>
  <c r="M40" i="24" s="1"/>
  <c r="D45" i="19"/>
  <c r="E45" i="19" s="1"/>
  <c r="F45" i="19" s="1"/>
  <c r="C20" i="20"/>
  <c r="D29" i="20"/>
  <c r="E29" i="20" s="1"/>
  <c r="F29" i="20" s="1"/>
  <c r="D30" i="20"/>
  <c r="E30" i="20" s="1"/>
  <c r="F30" i="20" s="1"/>
  <c r="D31" i="20"/>
  <c r="E31" i="20" s="1"/>
  <c r="F31" i="20" s="1"/>
  <c r="D32" i="20"/>
  <c r="E32" i="20" s="1"/>
  <c r="F32" i="20" s="1"/>
  <c r="D33" i="20"/>
  <c r="E33" i="20" s="1"/>
  <c r="F33" i="20" s="1"/>
  <c r="D34" i="20"/>
  <c r="E34" i="20" s="1"/>
  <c r="F34" i="20" s="1"/>
  <c r="L44" i="26"/>
  <c r="L48" i="26" s="1"/>
  <c r="M44" i="26"/>
  <c r="M48" i="26" s="1"/>
  <c r="F40" i="26" s="1"/>
  <c r="F41" i="26" s="1"/>
  <c r="N44" i="26"/>
  <c r="N48" i="26" s="1"/>
  <c r="G40" i="26" s="1"/>
  <c r="G41" i="26" s="1"/>
  <c r="O46" i="26"/>
  <c r="O44" i="26"/>
  <c r="D44" i="20"/>
  <c r="E44" i="20" s="1"/>
  <c r="F44" i="20" s="1"/>
  <c r="C9" i="25"/>
  <c r="D9" i="25" s="1"/>
  <c r="E9" i="25" s="1"/>
  <c r="F9" i="25" s="1"/>
  <c r="D10" i="25"/>
  <c r="E10" i="25" s="1"/>
  <c r="D11" i="25"/>
  <c r="E11" i="25" s="1"/>
  <c r="F11" i="25" s="1"/>
  <c r="D22" i="25"/>
  <c r="E22" i="25" s="1"/>
  <c r="D34" i="25"/>
  <c r="E34" i="25" s="1"/>
  <c r="F34" i="25" s="1"/>
  <c r="D35" i="25"/>
  <c r="E35" i="25" s="1"/>
  <c r="F35" i="25" s="1"/>
  <c r="D36" i="25"/>
  <c r="E36" i="25" s="1"/>
  <c r="F36" i="25" s="1"/>
  <c r="D46" i="25"/>
  <c r="E46" i="25" s="1"/>
  <c r="F46" i="25" s="1"/>
  <c r="D9" i="27"/>
  <c r="E9" i="27" s="1"/>
  <c r="D30" i="27"/>
  <c r="E30" i="27" s="1"/>
  <c r="F30" i="27" s="1"/>
  <c r="D9" i="28"/>
  <c r="E9" i="28" s="1"/>
  <c r="D10" i="28"/>
  <c r="E10" i="28" s="1"/>
  <c r="D15" i="28"/>
  <c r="E15" i="28" s="1"/>
  <c r="F15" i="28" s="1"/>
  <c r="D16" i="28"/>
  <c r="E16" i="28" s="1"/>
  <c r="F16" i="28" s="1"/>
  <c r="D24" i="28"/>
  <c r="E24" i="28"/>
  <c r="F24" i="28" s="1"/>
  <c r="D29" i="28"/>
  <c r="E29" i="28" s="1"/>
  <c r="F29" i="28" s="1"/>
  <c r="D30" i="28"/>
  <c r="E30" i="28" s="1"/>
  <c r="F30" i="28" s="1"/>
  <c r="D31" i="28"/>
  <c r="E31" i="28" s="1"/>
  <c r="F31" i="28" s="1"/>
  <c r="D17" i="32"/>
  <c r="D18" i="32"/>
  <c r="E18" i="32" s="1"/>
  <c r="F18" i="32" s="1"/>
  <c r="D19" i="32"/>
  <c r="E19" i="32" s="1"/>
  <c r="C32" i="32"/>
  <c r="D32" i="32" s="1"/>
  <c r="E32" i="32" s="1"/>
  <c r="F32" i="32" s="1"/>
  <c r="D33" i="32"/>
  <c r="E33" i="32" s="1"/>
  <c r="F33" i="32" s="1"/>
  <c r="D34" i="32"/>
  <c r="E34" i="32" s="1"/>
  <c r="F34" i="32" s="1"/>
  <c r="D35" i="32"/>
  <c r="E35" i="32" s="1"/>
  <c r="F35" i="32" s="1"/>
  <c r="D36" i="32"/>
  <c r="E36" i="32" s="1"/>
  <c r="F36" i="32" s="1"/>
  <c r="D37" i="32"/>
  <c r="E37" i="32" s="1"/>
  <c r="F37" i="32" s="1"/>
  <c r="D38" i="32"/>
  <c r="E38" i="32" s="1"/>
  <c r="F38" i="32" s="1"/>
  <c r="D49" i="32"/>
  <c r="E49" i="32" s="1"/>
  <c r="F49" i="32" s="1"/>
  <c r="E13" i="20"/>
  <c r="F13" i="20" s="1"/>
  <c r="E12" i="25"/>
  <c r="F12" i="25" s="1"/>
  <c r="E15" i="27"/>
  <c r="F15" i="27" s="1"/>
  <c r="E20" i="27"/>
  <c r="F20" i="27" s="1"/>
  <c r="E21" i="27"/>
  <c r="F21" i="27" s="1"/>
  <c r="E27" i="32"/>
  <c r="F27" i="32" s="1"/>
  <c r="F17" i="19"/>
  <c r="C33" i="27"/>
  <c r="C33" i="28"/>
  <c r="F46" i="28"/>
  <c r="L12" i="31"/>
  <c r="L19" i="31"/>
  <c r="G31" i="26"/>
  <c r="H13" i="26"/>
  <c r="N29" i="31"/>
  <c r="N33" i="31" s="1"/>
  <c r="N37" i="31" s="1"/>
  <c r="G26" i="26"/>
  <c r="C6" i="29"/>
  <c r="O29" i="31"/>
  <c r="O33" i="31" s="1"/>
  <c r="O37" i="31" s="1"/>
  <c r="H39" i="31" s="1"/>
  <c r="H40" i="31" s="1"/>
  <c r="G30" i="26"/>
  <c r="A3" i="26"/>
  <c r="A3" i="31"/>
  <c r="C33" i="31"/>
  <c r="M33" i="31"/>
  <c r="M37" i="31" s="1"/>
  <c r="F39" i="31" s="1"/>
  <c r="F40" i="31" s="1"/>
  <c r="F47" i="31" s="1"/>
  <c r="I32" i="24"/>
  <c r="I42" i="24" s="1"/>
  <c r="C22" i="14"/>
  <c r="C47" i="14"/>
  <c r="D9" i="14"/>
  <c r="D21" i="14"/>
  <c r="E21" i="14" s="1"/>
  <c r="I36" i="1"/>
  <c r="B32" i="1" s="1"/>
  <c r="F36" i="1"/>
  <c r="B31" i="1" s="1"/>
  <c r="C4" i="1"/>
  <c r="C18" i="1" s="1"/>
  <c r="C23" i="1" s="1"/>
  <c r="B18" i="1"/>
  <c r="C24" i="2"/>
  <c r="C29" i="2" s="1"/>
  <c r="G41" i="2"/>
  <c r="B42" i="2" s="1"/>
  <c r="K41" i="2"/>
  <c r="B43" i="2" s="1"/>
  <c r="F41" i="2"/>
  <c r="B24" i="2"/>
  <c r="E63" i="3"/>
  <c r="E8" i="3"/>
  <c r="E14" i="3"/>
  <c r="C15" i="3"/>
  <c r="D15" i="3" s="1"/>
  <c r="E15" i="3" s="1"/>
  <c r="E27" i="3"/>
  <c r="E28" i="3"/>
  <c r="E30" i="3"/>
  <c r="C37" i="3"/>
  <c r="D37" i="3" s="1"/>
  <c r="E37" i="3" s="1"/>
  <c r="C38" i="3"/>
  <c r="D38" i="3" s="1"/>
  <c r="E38" i="3" s="1"/>
  <c r="C39" i="3"/>
  <c r="D39" i="3" s="1"/>
  <c r="E39" i="3" s="1"/>
  <c r="C40" i="3"/>
  <c r="D40" i="3" s="1"/>
  <c r="E40" i="3" s="1"/>
  <c r="C41" i="3"/>
  <c r="D41" i="3" s="1"/>
  <c r="E41" i="3" s="1"/>
  <c r="M53" i="3"/>
  <c r="I53" i="3"/>
  <c r="H53" i="3"/>
  <c r="C16" i="3"/>
  <c r="D16" i="3" s="1"/>
  <c r="C8" i="3"/>
  <c r="C9" i="3"/>
  <c r="C10" i="3"/>
  <c r="C14" i="3"/>
  <c r="C26" i="3"/>
  <c r="B51" i="3"/>
  <c r="C51" i="3" s="1"/>
  <c r="B32" i="3"/>
  <c r="C44" i="3"/>
  <c r="F25" i="5"/>
  <c r="F27" i="5" s="1"/>
  <c r="D40" i="5"/>
  <c r="E40" i="5" s="1"/>
  <c r="F40" i="5" s="1"/>
  <c r="E41" i="5"/>
  <c r="F41" i="5" s="1"/>
  <c r="D42" i="5"/>
  <c r="E42" i="5" s="1"/>
  <c r="F42" i="5" s="1"/>
  <c r="D43" i="5"/>
  <c r="E43" i="5" s="1"/>
  <c r="F31" i="5"/>
  <c r="F32" i="5"/>
  <c r="F33" i="5"/>
  <c r="E4" i="5"/>
  <c r="E27" i="5"/>
  <c r="E34" i="5"/>
  <c r="D4" i="5"/>
  <c r="D13" i="5"/>
  <c r="D20" i="5"/>
  <c r="D21" i="5"/>
  <c r="D34" i="5"/>
  <c r="C4" i="5"/>
  <c r="C27" i="5"/>
  <c r="C45" i="5"/>
  <c r="C34" i="5"/>
  <c r="D13" i="12"/>
  <c r="E13" i="12" s="1"/>
  <c r="F13" i="12" s="1"/>
  <c r="F22" i="12"/>
  <c r="F28" i="12"/>
  <c r="F29" i="12"/>
  <c r="F30" i="12"/>
  <c r="F31" i="12"/>
  <c r="D17" i="12"/>
  <c r="E17" i="12" s="1"/>
  <c r="E24" i="12" s="1"/>
  <c r="E22" i="12"/>
  <c r="E28" i="12"/>
  <c r="E29" i="12"/>
  <c r="E33" i="12" s="1"/>
  <c r="E30" i="12"/>
  <c r="E31" i="12"/>
  <c r="D22" i="12"/>
  <c r="D28" i="12"/>
  <c r="D29" i="12"/>
  <c r="D30" i="12"/>
  <c r="D31" i="12"/>
  <c r="C22" i="12"/>
  <c r="C24" i="12" s="1"/>
  <c r="C33" i="12"/>
  <c r="E39" i="13"/>
  <c r="E40" i="13"/>
  <c r="E41" i="13"/>
  <c r="E42" i="13"/>
  <c r="D16" i="13"/>
  <c r="D39" i="13"/>
  <c r="D40" i="13"/>
  <c r="D41" i="13"/>
  <c r="D42" i="13"/>
  <c r="F42" i="13"/>
  <c r="F41" i="13"/>
  <c r="F40" i="13"/>
  <c r="F39" i="13"/>
  <c r="E14" i="14"/>
  <c r="E22" i="14"/>
  <c r="E54" i="22"/>
  <c r="E23" i="22"/>
  <c r="E62" i="22" s="1"/>
  <c r="L24" i="22"/>
  <c r="L28" i="22" s="1"/>
  <c r="E29" i="22" s="1"/>
  <c r="E30" i="22" s="1"/>
  <c r="F23" i="22"/>
  <c r="F62" i="22" s="1"/>
  <c r="M24" i="22"/>
  <c r="M28" i="22" s="1"/>
  <c r="F29" i="22" s="1"/>
  <c r="G44" i="22"/>
  <c r="G47" i="22"/>
  <c r="G48" i="22"/>
  <c r="G51" i="22"/>
  <c r="G62" i="22"/>
  <c r="N24" i="22"/>
  <c r="N28" i="22" s="1"/>
  <c r="G29" i="22" s="1"/>
  <c r="G30" i="22" s="1"/>
  <c r="G32" i="22" s="1"/>
  <c r="H43" i="22"/>
  <c r="O24" i="22"/>
  <c r="O28" i="22"/>
  <c r="H29" i="22" s="1"/>
  <c r="H30" i="22" s="1"/>
  <c r="H69" i="22" s="1"/>
  <c r="E68" i="22"/>
  <c r="F68" i="22"/>
  <c r="G68" i="22"/>
  <c r="H68" i="22"/>
  <c r="C63" i="22"/>
  <c r="I58" i="22"/>
  <c r="I57" i="22"/>
  <c r="I43" i="22"/>
  <c r="E17" i="22"/>
  <c r="G10" i="22"/>
  <c r="G11" i="22"/>
  <c r="G12" i="22"/>
  <c r="G14" i="22"/>
  <c r="H9" i="22"/>
  <c r="C24" i="22"/>
  <c r="D24" i="17"/>
  <c r="E24" i="17" s="1"/>
  <c r="E55" i="23"/>
  <c r="E63" i="23"/>
  <c r="F63" i="23"/>
  <c r="G45" i="23"/>
  <c r="G48" i="23"/>
  <c r="G49" i="23"/>
  <c r="G52" i="23"/>
  <c r="G63" i="23"/>
  <c r="H44" i="23"/>
  <c r="E69" i="23"/>
  <c r="F69" i="23"/>
  <c r="G69" i="23"/>
  <c r="H69" i="23"/>
  <c r="C64" i="23"/>
  <c r="I59" i="23"/>
  <c r="I58" i="23"/>
  <c r="I44" i="23"/>
  <c r="E6" i="23"/>
  <c r="F11" i="23"/>
  <c r="G18" i="23"/>
  <c r="G19" i="23"/>
  <c r="G23" i="23"/>
  <c r="H17" i="23"/>
  <c r="H20" i="23"/>
  <c r="H23" i="23"/>
  <c r="H24" i="23"/>
  <c r="E31" i="24"/>
  <c r="E32" i="24"/>
  <c r="E80" i="24" s="1"/>
  <c r="F28" i="24"/>
  <c r="F29" i="24"/>
  <c r="G20" i="24"/>
  <c r="G32" i="24"/>
  <c r="G80" i="24" s="1"/>
  <c r="H29" i="24"/>
  <c r="C19" i="26"/>
  <c r="H19" i="26" s="1"/>
  <c r="C25" i="23"/>
  <c r="A3" i="23"/>
  <c r="H86" i="24"/>
  <c r="G86" i="24"/>
  <c r="F86" i="24"/>
  <c r="E86" i="24"/>
  <c r="J86" i="24" s="1"/>
  <c r="C81" i="24"/>
  <c r="F80" i="24"/>
  <c r="J76" i="24"/>
  <c r="J75" i="24"/>
  <c r="E72" i="24"/>
  <c r="G69" i="24"/>
  <c r="G66" i="24"/>
  <c r="G65" i="24"/>
  <c r="G62" i="24"/>
  <c r="J61" i="24"/>
  <c r="H61" i="24"/>
  <c r="A3" i="24"/>
  <c r="C33" i="24"/>
  <c r="C34" i="26"/>
  <c r="C35" i="13"/>
  <c r="J24" i="29"/>
  <c r="K24" i="29"/>
  <c r="D17" i="25"/>
  <c r="C17" i="25" s="1"/>
  <c r="F10" i="28"/>
  <c r="D16" i="20"/>
  <c r="D36" i="20" s="1"/>
  <c r="C40" i="32"/>
  <c r="E17" i="25"/>
  <c r="F17" i="25" s="1"/>
  <c r="C38" i="28"/>
  <c r="D38" i="28" s="1"/>
  <c r="E38" i="28" s="1"/>
  <c r="F38" i="28" s="1"/>
  <c r="C45" i="32"/>
  <c r="D45" i="32" s="1"/>
  <c r="E45" i="32" s="1"/>
  <c r="F45" i="32" s="1"/>
  <c r="C47" i="32"/>
  <c r="D47" i="32" s="1"/>
  <c r="E47" i="32" s="1"/>
  <c r="F47" i="32" s="1"/>
  <c r="C43" i="25"/>
  <c r="D43" i="25" s="1"/>
  <c r="E43" i="25" s="1"/>
  <c r="F43" i="25" s="1"/>
  <c r="C44" i="25"/>
  <c r="D44" i="25" s="1"/>
  <c r="E44" i="25" s="1"/>
  <c r="F44" i="25" s="1"/>
  <c r="C48" i="32"/>
  <c r="D48" i="32" s="1"/>
  <c r="E48" i="32" s="1"/>
  <c r="F48" i="32" s="1"/>
  <c r="C24" i="29"/>
  <c r="L24" i="29"/>
  <c r="C37" i="27"/>
  <c r="D37" i="27" s="1"/>
  <c r="C45" i="25"/>
  <c r="D45" i="25" s="1"/>
  <c r="E45" i="25" s="1"/>
  <c r="F45" i="25" s="1"/>
  <c r="C44" i="32"/>
  <c r="D44" i="32" s="1"/>
  <c r="C39" i="28"/>
  <c r="D39" i="28" s="1"/>
  <c r="E39" i="28" s="1"/>
  <c r="F39" i="28" s="1"/>
  <c r="C41" i="27"/>
  <c r="D41" i="27" s="1"/>
  <c r="E41" i="27" s="1"/>
  <c r="F41" i="27" s="1"/>
  <c r="C40" i="27"/>
  <c r="D40" i="27" s="1"/>
  <c r="E40" i="27" s="1"/>
  <c r="F40" i="27" s="1"/>
  <c r="C46" i="32"/>
  <c r="D46" i="32" s="1"/>
  <c r="E46" i="32" s="1"/>
  <c r="F46" i="32" s="1"/>
  <c r="C42" i="25"/>
  <c r="C49" i="25" s="1"/>
  <c r="C38" i="27"/>
  <c r="D38" i="27" s="1"/>
  <c r="E38" i="27" s="1"/>
  <c r="F38" i="27" s="1"/>
  <c r="C39" i="27"/>
  <c r="D39" i="27" s="1"/>
  <c r="E39" i="27" s="1"/>
  <c r="F39" i="27" s="1"/>
  <c r="C37" i="28"/>
  <c r="I24" i="29"/>
  <c r="L25" i="29" s="1"/>
  <c r="C40" i="28"/>
  <c r="D40" i="28" s="1"/>
  <c r="E40" i="28" s="1"/>
  <c r="F40" i="28" s="1"/>
  <c r="B24" i="29"/>
  <c r="O24" i="29"/>
  <c r="P24" i="29"/>
  <c r="E24" i="29"/>
  <c r="N24" i="29"/>
  <c r="M24" i="29"/>
  <c r="P25" i="29" s="1"/>
  <c r="D24" i="29"/>
  <c r="I5" i="29"/>
  <c r="J5" i="29"/>
  <c r="K5" i="29"/>
  <c r="L5" i="29"/>
  <c r="M5" i="29"/>
  <c r="E12" i="64"/>
  <c r="E14" i="64" s="1"/>
  <c r="E28" i="64" s="1"/>
  <c r="F34" i="17"/>
  <c r="J15" i="60"/>
  <c r="J17" i="60" s="1"/>
  <c r="J18" i="60" s="1"/>
  <c r="H15" i="60"/>
  <c r="H17" i="60" s="1"/>
  <c r="N26" i="57"/>
  <c r="N33" i="57" s="1"/>
  <c r="N11" i="57"/>
  <c r="F9" i="28"/>
  <c r="O27" i="57"/>
  <c r="L13" i="60"/>
  <c r="K27" i="57" s="1"/>
  <c r="L34" i="57" s="1"/>
  <c r="L29" i="60"/>
  <c r="O31" i="60" s="1"/>
  <c r="O33" i="60" s="1"/>
  <c r="O34" i="60" s="1"/>
  <c r="L21" i="60"/>
  <c r="M23" i="60" s="1"/>
  <c r="E25" i="29"/>
  <c r="I21" i="60"/>
  <c r="J23" i="60" s="1"/>
  <c r="J25" i="60" s="1"/>
  <c r="J26" i="60" s="1"/>
  <c r="I37" i="60"/>
  <c r="D40" i="19"/>
  <c r="E40" i="19" s="1"/>
  <c r="F40" i="19" s="1"/>
  <c r="C43" i="19"/>
  <c r="D43" i="19" s="1"/>
  <c r="E43" i="19" s="1"/>
  <c r="F43" i="19" s="1"/>
  <c r="E15" i="61"/>
  <c r="E17" i="60"/>
  <c r="E18" i="60" s="1"/>
  <c r="O11" i="57"/>
  <c r="O26" i="57"/>
  <c r="O33" i="57" s="1"/>
  <c r="F10" i="57"/>
  <c r="F11" i="57" s="1"/>
  <c r="G25" i="60"/>
  <c r="G9" i="60"/>
  <c r="R8" i="60"/>
  <c r="G41" i="60"/>
  <c r="J9" i="57"/>
  <c r="J26" i="57" s="1"/>
  <c r="J33" i="57" s="1"/>
  <c r="K37" i="60"/>
  <c r="K39" i="60" s="1"/>
  <c r="K41" i="60" s="1"/>
  <c r="K29" i="60"/>
  <c r="N31" i="60" s="1"/>
  <c r="N33" i="60" s="1"/>
  <c r="N34" i="60" s="1"/>
  <c r="K13" i="60"/>
  <c r="O51" i="64" s="1"/>
  <c r="Q58" i="64" s="1"/>
  <c r="J37" i="60"/>
  <c r="J39" i="60" s="1"/>
  <c r="J41" i="60" s="1"/>
  <c r="J42" i="60" s="1"/>
  <c r="J29" i="60"/>
  <c r="M31" i="60" s="1"/>
  <c r="M33" i="60" s="1"/>
  <c r="I9" i="57"/>
  <c r="I11" i="57" s="1"/>
  <c r="L26" i="57"/>
  <c r="L33" i="57" s="1"/>
  <c r="H33" i="57"/>
  <c r="H11" i="57"/>
  <c r="M27" i="57"/>
  <c r="N34" i="57"/>
  <c r="H21" i="60"/>
  <c r="H9" i="60"/>
  <c r="L9" i="60"/>
  <c r="E9" i="57"/>
  <c r="P9" i="57" s="1"/>
  <c r="E10" i="57"/>
  <c r="P10" i="57" s="1"/>
  <c r="J27" i="57"/>
  <c r="K34" i="57" s="1"/>
  <c r="D14" i="56"/>
  <c r="J14" i="56" s="1"/>
  <c r="G42" i="24" l="1"/>
  <c r="C38" i="25"/>
  <c r="C52" i="25" s="1"/>
  <c r="L26" i="60"/>
  <c r="K15" i="60"/>
  <c r="K17" i="60" s="1"/>
  <c r="H27" i="57"/>
  <c r="I34" i="57" s="1"/>
  <c r="D32" i="3"/>
  <c r="C48" i="2"/>
  <c r="C50" i="2" s="1"/>
  <c r="L33" i="31"/>
  <c r="L37" i="31" s="1"/>
  <c r="E39" i="31" s="1"/>
  <c r="O48" i="26"/>
  <c r="H40" i="26" s="1"/>
  <c r="H41" i="26" s="1"/>
  <c r="H48" i="26" s="1"/>
  <c r="R19" i="61"/>
  <c r="M15" i="60"/>
  <c r="E37" i="12"/>
  <c r="E36" i="5"/>
  <c r="K9" i="60"/>
  <c r="K42" i="60" s="1"/>
  <c r="K11" i="57"/>
  <c r="R33" i="61"/>
  <c r="J11" i="57"/>
  <c r="H26" i="60"/>
  <c r="G47" i="24"/>
  <c r="R31" i="61"/>
  <c r="D47" i="14"/>
  <c r="E16" i="20"/>
  <c r="E37" i="14"/>
  <c r="H34" i="60"/>
  <c r="E34" i="60"/>
  <c r="H42" i="60"/>
  <c r="H69" i="64"/>
  <c r="G69" i="64"/>
  <c r="R25" i="61"/>
  <c r="E32" i="3"/>
  <c r="L15" i="60"/>
  <c r="L17" i="60" s="1"/>
  <c r="L18" i="60" s="1"/>
  <c r="D24" i="12"/>
  <c r="H32" i="22"/>
  <c r="C36" i="5"/>
  <c r="O32" i="23"/>
  <c r="H30" i="23" s="1"/>
  <c r="H31" i="23" s="1"/>
  <c r="H70" i="23" s="1"/>
  <c r="H72" i="23" s="1"/>
  <c r="E69" i="22"/>
  <c r="E71" i="22" s="1"/>
  <c r="E73" i="22" s="1"/>
  <c r="F40" i="22" s="1"/>
  <c r="E32" i="22"/>
  <c r="E34" i="22" s="1"/>
  <c r="F6" i="22" s="1"/>
  <c r="E40" i="26"/>
  <c r="E41" i="26" s="1"/>
  <c r="E48" i="26" s="1"/>
  <c r="E17" i="32"/>
  <c r="F17" i="32" s="1"/>
  <c r="F40" i="32" s="1"/>
  <c r="D40" i="32"/>
  <c r="D41" i="32" s="1"/>
  <c r="F9" i="27"/>
  <c r="F33" i="27" s="1"/>
  <c r="F6" i="29" s="1"/>
  <c r="E33" i="27"/>
  <c r="R27" i="61"/>
  <c r="I23" i="60"/>
  <c r="I25" i="60" s="1"/>
  <c r="I26" i="60" s="1"/>
  <c r="R21" i="60"/>
  <c r="C47" i="5"/>
  <c r="M17" i="60"/>
  <c r="M18" i="60" s="1"/>
  <c r="G42" i="60"/>
  <c r="F32" i="14"/>
  <c r="F37" i="14" s="1"/>
  <c r="E43" i="13"/>
  <c r="G18" i="60"/>
  <c r="R21" i="61"/>
  <c r="C37" i="14"/>
  <c r="D33" i="27"/>
  <c r="E35" i="12"/>
  <c r="F42" i="31"/>
  <c r="F42" i="24"/>
  <c r="C35" i="12"/>
  <c r="C37" i="12"/>
  <c r="C32" i="3"/>
  <c r="C53" i="3" s="1"/>
  <c r="G33" i="23"/>
  <c r="N18" i="60"/>
  <c r="L33" i="60"/>
  <c r="M34" i="60"/>
  <c r="G34" i="60"/>
  <c r="F33" i="28"/>
  <c r="C25" i="29"/>
  <c r="H71" i="22"/>
  <c r="C34" i="1"/>
  <c r="C36" i="1" s="1"/>
  <c r="O26" i="60"/>
  <c r="L41" i="60"/>
  <c r="L42" i="60" s="1"/>
  <c r="H13" i="60"/>
  <c r="N27" i="57"/>
  <c r="O34" i="57" s="1"/>
  <c r="I27" i="57"/>
  <c r="J34" i="57" s="1"/>
  <c r="U8" i="60"/>
  <c r="D51" i="3"/>
  <c r="D38" i="25"/>
  <c r="F27" i="57"/>
  <c r="G34" i="57" s="1"/>
  <c r="B53" i="3"/>
  <c r="L11" i="56"/>
  <c r="P9" i="60"/>
  <c r="P26" i="60" s="1"/>
  <c r="P15" i="60"/>
  <c r="P17" i="60" s="1"/>
  <c r="P18" i="60" s="1"/>
  <c r="H29" i="60"/>
  <c r="K31" i="60" s="1"/>
  <c r="K33" i="60" s="1"/>
  <c r="K34" i="60" s="1"/>
  <c r="R15" i="61"/>
  <c r="O15" i="60"/>
  <c r="O17" i="60" s="1"/>
  <c r="O18" i="60" s="1"/>
  <c r="F47" i="14"/>
  <c r="P41" i="60"/>
  <c r="J11" i="64"/>
  <c r="E14" i="57"/>
  <c r="Z12" i="64"/>
  <c r="F30" i="22"/>
  <c r="I29" i="22"/>
  <c r="H87" i="24"/>
  <c r="H89" i="24" s="1"/>
  <c r="H42" i="24"/>
  <c r="H47" i="24"/>
  <c r="C42" i="19"/>
  <c r="D42" i="19" s="1"/>
  <c r="E42" i="19" s="1"/>
  <c r="F42" i="19" s="1"/>
  <c r="E39" i="24"/>
  <c r="R40" i="24"/>
  <c r="F43" i="5"/>
  <c r="F45" i="5" s="1"/>
  <c r="E45" i="5"/>
  <c r="E47" i="5" s="1"/>
  <c r="C45" i="17"/>
  <c r="D45" i="17" s="1"/>
  <c r="E45" i="17" s="1"/>
  <c r="F45" i="17" s="1"/>
  <c r="F70" i="23"/>
  <c r="F72" i="23" s="1"/>
  <c r="F33" i="23"/>
  <c r="F43" i="26"/>
  <c r="C41" i="20"/>
  <c r="D41" i="20" s="1"/>
  <c r="E41" i="20" s="1"/>
  <c r="F41" i="20" s="1"/>
  <c r="F48" i="26"/>
  <c r="M25" i="60"/>
  <c r="M26" i="60" s="1"/>
  <c r="C36" i="20"/>
  <c r="D20" i="20"/>
  <c r="E20" i="20" s="1"/>
  <c r="F20" i="20" s="1"/>
  <c r="F30" i="13"/>
  <c r="H18" i="60"/>
  <c r="G69" i="22"/>
  <c r="G71" i="22" s="1"/>
  <c r="C41" i="19"/>
  <c r="G87" i="24"/>
  <c r="G89" i="24" s="1"/>
  <c r="D27" i="19"/>
  <c r="E27" i="19" s="1"/>
  <c r="C35" i="19"/>
  <c r="E30" i="23"/>
  <c r="P32" i="23"/>
  <c r="I51" i="64"/>
  <c r="K58" i="64" s="1"/>
  <c r="G27" i="57"/>
  <c r="R13" i="61"/>
  <c r="F10" i="25"/>
  <c r="F38" i="25" s="1"/>
  <c r="E38" i="25"/>
  <c r="F26" i="60"/>
  <c r="O42" i="60"/>
  <c r="D45" i="5"/>
  <c r="C45" i="13"/>
  <c r="C47" i="13"/>
  <c r="G48" i="26"/>
  <c r="C42" i="20"/>
  <c r="D42" i="20" s="1"/>
  <c r="E42" i="20" s="1"/>
  <c r="F42" i="20" s="1"/>
  <c r="G43" i="26"/>
  <c r="F33" i="60"/>
  <c r="R31" i="60"/>
  <c r="I39" i="60"/>
  <c r="R37" i="60"/>
  <c r="E40" i="31"/>
  <c r="H42" i="31"/>
  <c r="H47" i="31"/>
  <c r="C47" i="17"/>
  <c r="D47" i="17" s="1"/>
  <c r="E47" i="17" s="1"/>
  <c r="F47" i="17" s="1"/>
  <c r="D33" i="17"/>
  <c r="C40" i="17"/>
  <c r="I41" i="26"/>
  <c r="T9" i="57"/>
  <c r="T10" i="57"/>
  <c r="AF12" i="64" s="1"/>
  <c r="I26" i="57"/>
  <c r="I33" i="57" s="1"/>
  <c r="L34" i="60"/>
  <c r="E51" i="3"/>
  <c r="P27" i="22"/>
  <c r="D37" i="14"/>
  <c r="C43" i="20"/>
  <c r="D43" i="20" s="1"/>
  <c r="E43" i="20" s="1"/>
  <c r="F43" i="20" s="1"/>
  <c r="Q51" i="64"/>
  <c r="S58" i="64" s="1"/>
  <c r="E47" i="14"/>
  <c r="G39" i="31"/>
  <c r="G40" i="31" s="1"/>
  <c r="P37" i="31"/>
  <c r="E33" i="28"/>
  <c r="E31" i="13"/>
  <c r="F31" i="13" s="1"/>
  <c r="D35" i="13"/>
  <c r="N26" i="60"/>
  <c r="G26" i="60"/>
  <c r="F34" i="5"/>
  <c r="F36" i="5" s="1"/>
  <c r="F47" i="24"/>
  <c r="F87" i="24"/>
  <c r="F89" i="24" s="1"/>
  <c r="C46" i="17"/>
  <c r="D46" i="17" s="1"/>
  <c r="E46" i="17" s="1"/>
  <c r="F46" i="17" s="1"/>
  <c r="G70" i="23"/>
  <c r="G72" i="23" s="1"/>
  <c r="D27" i="5"/>
  <c r="G11" i="57"/>
  <c r="G26" i="57"/>
  <c r="F24" i="12"/>
  <c r="R9" i="61"/>
  <c r="M11" i="57"/>
  <c r="U7" i="60"/>
  <c r="M42" i="60"/>
  <c r="L27" i="57"/>
  <c r="M34" i="57" s="1"/>
  <c r="F12" i="64"/>
  <c r="H33" i="23"/>
  <c r="I69" i="23"/>
  <c r="I68" i="22"/>
  <c r="D43" i="13"/>
  <c r="D33" i="12"/>
  <c r="F33" i="12"/>
  <c r="D33" i="28"/>
  <c r="F42" i="60"/>
  <c r="F34" i="60"/>
  <c r="F18" i="60"/>
  <c r="P42" i="60"/>
  <c r="E42" i="60"/>
  <c r="E26" i="60"/>
  <c r="I58" i="64"/>
  <c r="AE51" i="64"/>
  <c r="J12" i="64"/>
  <c r="E16" i="57"/>
  <c r="R12" i="64"/>
  <c r="E15" i="57"/>
  <c r="E39" i="64"/>
  <c r="E67" i="64" s="1"/>
  <c r="F67" i="64" s="1"/>
  <c r="X11" i="64"/>
  <c r="X35" i="64" s="1"/>
  <c r="E40" i="64"/>
  <c r="F40" i="64" s="1"/>
  <c r="E38" i="64"/>
  <c r="F38" i="64" s="1"/>
  <c r="F11" i="64"/>
  <c r="F16" i="57"/>
  <c r="H11" i="64"/>
  <c r="H35" i="64" s="1"/>
  <c r="H43" i="64" s="1"/>
  <c r="H45" i="64" s="1"/>
  <c r="J8" i="64" s="1"/>
  <c r="R11" i="64"/>
  <c r="T11" i="64"/>
  <c r="T35" i="64" s="1"/>
  <c r="K39" i="64"/>
  <c r="L39" i="64" s="1"/>
  <c r="I11" i="64"/>
  <c r="I50" i="64" s="1"/>
  <c r="I57" i="64" s="1"/>
  <c r="P11" i="64"/>
  <c r="P12" i="64"/>
  <c r="Q11" i="64"/>
  <c r="Q50" i="64" s="1"/>
  <c r="Q57" i="64" s="1"/>
  <c r="S11" i="64"/>
  <c r="S80" i="64" s="1"/>
  <c r="U12" i="64"/>
  <c r="V11" i="64"/>
  <c r="U50" i="64" s="1"/>
  <c r="U57" i="64" s="1"/>
  <c r="Z11" i="64"/>
  <c r="Y12" i="64"/>
  <c r="Y35" i="64" s="1"/>
  <c r="Q12" i="64"/>
  <c r="D37" i="28"/>
  <c r="D41" i="28" s="1"/>
  <c r="C41" i="28"/>
  <c r="C43" i="28" s="1"/>
  <c r="M11" i="64"/>
  <c r="M50" i="64" s="1"/>
  <c r="M57" i="64" s="1"/>
  <c r="U11" i="64"/>
  <c r="L12" i="64"/>
  <c r="L79" i="64" s="1"/>
  <c r="V12" i="64"/>
  <c r="O11" i="64"/>
  <c r="O80" i="64" s="1"/>
  <c r="W11" i="64"/>
  <c r="C50" i="32"/>
  <c r="C52" i="32" s="1"/>
  <c r="K35" i="64"/>
  <c r="G80" i="64"/>
  <c r="K80" i="64"/>
  <c r="D42" i="27"/>
  <c r="D44" i="27" s="1"/>
  <c r="E37" i="27"/>
  <c r="F37" i="27" s="1"/>
  <c r="F42" i="27" s="1"/>
  <c r="D42" i="25"/>
  <c r="E42" i="25" s="1"/>
  <c r="C42" i="27"/>
  <c r="C44" i="27" s="1"/>
  <c r="K50" i="64"/>
  <c r="K57" i="64" s="1"/>
  <c r="P6" i="57"/>
  <c r="F6" i="57"/>
  <c r="P21" i="57"/>
  <c r="AB28" i="64"/>
  <c r="E35" i="64"/>
  <c r="D50" i="32"/>
  <c r="D52" i="32" s="1"/>
  <c r="E44" i="32"/>
  <c r="G35" i="64"/>
  <c r="E49" i="14" l="1"/>
  <c r="R29" i="60"/>
  <c r="K26" i="60"/>
  <c r="P48" i="26"/>
  <c r="R33" i="60"/>
  <c r="K18" i="60"/>
  <c r="AE58" i="64"/>
  <c r="I40" i="26"/>
  <c r="U9" i="60"/>
  <c r="D53" i="3"/>
  <c r="H43" i="26"/>
  <c r="E36" i="20"/>
  <c r="F16" i="20"/>
  <c r="F36" i="20" s="1"/>
  <c r="E40" i="32"/>
  <c r="I39" i="31"/>
  <c r="D43" i="28"/>
  <c r="E53" i="3"/>
  <c r="E55" i="3" s="1"/>
  <c r="R25" i="60"/>
  <c r="R26" i="60" s="1"/>
  <c r="E43" i="26"/>
  <c r="C40" i="20"/>
  <c r="D40" i="20" s="1"/>
  <c r="F47" i="5"/>
  <c r="I15" i="60"/>
  <c r="U13" i="60"/>
  <c r="F35" i="13"/>
  <c r="F47" i="13" s="1"/>
  <c r="F4" i="14" s="1"/>
  <c r="F51" i="14" s="1"/>
  <c r="F4" i="17" s="1"/>
  <c r="C49" i="14"/>
  <c r="C51" i="14"/>
  <c r="C4" i="17" s="1"/>
  <c r="F49" i="14"/>
  <c r="P34" i="60"/>
  <c r="R9" i="60"/>
  <c r="S9" i="60" s="1"/>
  <c r="S10" i="60" s="1"/>
  <c r="F44" i="27"/>
  <c r="R23" i="60"/>
  <c r="R13" i="60"/>
  <c r="I38" i="64"/>
  <c r="I66" i="64" s="1"/>
  <c r="J66" i="64" s="1"/>
  <c r="J79" i="64"/>
  <c r="M14" i="57"/>
  <c r="S38" i="64"/>
  <c r="S66" i="64" s="1"/>
  <c r="T66" i="64" s="1"/>
  <c r="N14" i="57"/>
  <c r="N12" i="64"/>
  <c r="Z79" i="64"/>
  <c r="F45" i="13"/>
  <c r="H34" i="57"/>
  <c r="T34" i="57" s="1"/>
  <c r="T27" i="57"/>
  <c r="W27" i="57" s="1"/>
  <c r="E31" i="23"/>
  <c r="I30" i="23"/>
  <c r="D41" i="19"/>
  <c r="F69" i="22"/>
  <c r="F32" i="22"/>
  <c r="F34" i="22" s="1"/>
  <c r="G6" i="22" s="1"/>
  <c r="G34" i="22" s="1"/>
  <c r="H6" i="22" s="1"/>
  <c r="H34" i="22" s="1"/>
  <c r="I30" i="22"/>
  <c r="AF11" i="64"/>
  <c r="U27" i="57"/>
  <c r="U34" i="57" s="1"/>
  <c r="T11" i="57"/>
  <c r="D40" i="17"/>
  <c r="E33" i="17"/>
  <c r="I41" i="60"/>
  <c r="R39" i="60"/>
  <c r="S33" i="60"/>
  <c r="S34" i="60" s="1"/>
  <c r="E35" i="13"/>
  <c r="C46" i="20"/>
  <c r="C48" i="20" s="1"/>
  <c r="G33" i="57"/>
  <c r="T26" i="57"/>
  <c r="D49" i="14"/>
  <c r="D51" i="14"/>
  <c r="F27" i="19"/>
  <c r="F35" i="19" s="1"/>
  <c r="E35" i="19"/>
  <c r="D35" i="19"/>
  <c r="D47" i="5"/>
  <c r="D36" i="5"/>
  <c r="G47" i="31"/>
  <c r="G42" i="31"/>
  <c r="E47" i="31"/>
  <c r="I40" i="31"/>
  <c r="E42" i="31"/>
  <c r="S25" i="60"/>
  <c r="S26" i="60" s="1"/>
  <c r="E40" i="24"/>
  <c r="J39" i="24"/>
  <c r="F35" i="64"/>
  <c r="X79" i="64"/>
  <c r="F15" i="57"/>
  <c r="F17" i="57" s="1"/>
  <c r="F19" i="57" s="1"/>
  <c r="F28" i="57" s="1"/>
  <c r="F35" i="57" s="1"/>
  <c r="F35" i="12"/>
  <c r="F37" i="12"/>
  <c r="D37" i="12"/>
  <c r="D35" i="12"/>
  <c r="D45" i="13"/>
  <c r="D47" i="13"/>
  <c r="R35" i="64"/>
  <c r="E66" i="64"/>
  <c r="F66" i="64" s="1"/>
  <c r="J35" i="64"/>
  <c r="E68" i="64"/>
  <c r="F68" i="64" s="1"/>
  <c r="E41" i="64"/>
  <c r="E43" i="64" s="1"/>
  <c r="E45" i="64" s="1"/>
  <c r="F39" i="64"/>
  <c r="F41" i="64" s="1"/>
  <c r="H79" i="64"/>
  <c r="W38" i="64"/>
  <c r="W66" i="64" s="1"/>
  <c r="X66" i="64" s="1"/>
  <c r="I15" i="57"/>
  <c r="M39" i="64"/>
  <c r="N39" i="64" s="1"/>
  <c r="G15" i="57"/>
  <c r="I39" i="64"/>
  <c r="J39" i="64" s="1"/>
  <c r="H15" i="57"/>
  <c r="T79" i="64"/>
  <c r="K67" i="64"/>
  <c r="L67" i="64" s="1"/>
  <c r="M80" i="64"/>
  <c r="R79" i="64"/>
  <c r="V35" i="64"/>
  <c r="V79" i="64"/>
  <c r="Z35" i="64"/>
  <c r="Q35" i="64"/>
  <c r="M35" i="64"/>
  <c r="L35" i="64"/>
  <c r="U80" i="64"/>
  <c r="O35" i="64"/>
  <c r="P79" i="64"/>
  <c r="S50" i="64"/>
  <c r="S57" i="64" s="1"/>
  <c r="E37" i="28"/>
  <c r="E41" i="28" s="1"/>
  <c r="E43" i="28" s="1"/>
  <c r="P35" i="64"/>
  <c r="U35" i="64"/>
  <c r="K14" i="57"/>
  <c r="Q38" i="64"/>
  <c r="Y80" i="64"/>
  <c r="Q80" i="64"/>
  <c r="I35" i="64"/>
  <c r="I80" i="64"/>
  <c r="G14" i="57"/>
  <c r="U38" i="64"/>
  <c r="S35" i="64"/>
  <c r="L14" i="57"/>
  <c r="W80" i="64"/>
  <c r="W50" i="64"/>
  <c r="W57" i="64" s="1"/>
  <c r="W35" i="64"/>
  <c r="O14" i="57"/>
  <c r="Y38" i="64"/>
  <c r="AE11" i="64"/>
  <c r="AF51" i="64" s="1"/>
  <c r="AF58" i="64" s="1"/>
  <c r="AA11" i="64"/>
  <c r="AA45" i="64" s="1"/>
  <c r="O50" i="64"/>
  <c r="O57" i="64" s="1"/>
  <c r="H71" i="64"/>
  <c r="E42" i="27"/>
  <c r="E44" i="27" s="1"/>
  <c r="F42" i="25"/>
  <c r="F49" i="25" s="1"/>
  <c r="E49" i="25"/>
  <c r="D49" i="25"/>
  <c r="G43" i="64"/>
  <c r="G71" i="64"/>
  <c r="F44" i="32"/>
  <c r="F50" i="32" s="1"/>
  <c r="F52" i="32" s="1"/>
  <c r="E50" i="32"/>
  <c r="E52" i="32" s="1"/>
  <c r="F25" i="57"/>
  <c r="D13" i="56" l="1"/>
  <c r="J13" i="56" s="1"/>
  <c r="L14" i="56" s="1"/>
  <c r="L20" i="56" s="1"/>
  <c r="R34" i="60"/>
  <c r="U15" i="60"/>
  <c r="I17" i="60"/>
  <c r="R15" i="60"/>
  <c r="T38" i="64"/>
  <c r="J38" i="64"/>
  <c r="J15" i="57"/>
  <c r="J16" i="57"/>
  <c r="AA12" i="64"/>
  <c r="AE12" i="64"/>
  <c r="E47" i="13"/>
  <c r="E4" i="14" s="1"/>
  <c r="E51" i="14" s="1"/>
  <c r="E4" i="17" s="1"/>
  <c r="E45" i="13"/>
  <c r="J40" i="24"/>
  <c r="E42" i="24"/>
  <c r="E87" i="24"/>
  <c r="E47" i="24"/>
  <c r="C44" i="19" s="1"/>
  <c r="I42" i="60"/>
  <c r="R41" i="60"/>
  <c r="F33" i="17"/>
  <c r="F40" i="17" s="1"/>
  <c r="E40" i="17"/>
  <c r="F71" i="22"/>
  <c r="F73" i="22" s="1"/>
  <c r="G40" i="22" s="1"/>
  <c r="G73" i="22" s="1"/>
  <c r="H40" i="22" s="1"/>
  <c r="H73" i="22" s="1"/>
  <c r="I69" i="22"/>
  <c r="E70" i="23"/>
  <c r="E33" i="23"/>
  <c r="E35" i="23" s="1"/>
  <c r="F6" i="23" s="1"/>
  <c r="F35" i="23" s="1"/>
  <c r="G6" i="23" s="1"/>
  <c r="G35" i="23" s="1"/>
  <c r="H6" i="23" s="1"/>
  <c r="H35" i="23" s="1"/>
  <c r="E6" i="24" s="1"/>
  <c r="I31" i="23"/>
  <c r="C44" i="17"/>
  <c r="D4" i="17"/>
  <c r="E52" i="14"/>
  <c r="F52" i="14"/>
  <c r="E41" i="19"/>
  <c r="E40" i="20"/>
  <c r="D46" i="20"/>
  <c r="D48" i="20" s="1"/>
  <c r="F43" i="64"/>
  <c r="F45" i="64" s="1"/>
  <c r="F46" i="64" s="1"/>
  <c r="AE9" i="64" s="1"/>
  <c r="AE45" i="64" s="1"/>
  <c r="F69" i="64"/>
  <c r="F71" i="64" s="1"/>
  <c r="F73" i="64" s="1"/>
  <c r="H73" i="64" s="1"/>
  <c r="E69" i="64"/>
  <c r="E71" i="64" s="1"/>
  <c r="E73" i="64" s="1"/>
  <c r="G73" i="64" s="1"/>
  <c r="O40" i="64"/>
  <c r="O68" i="64" s="1"/>
  <c r="M67" i="64"/>
  <c r="N67" i="64" s="1"/>
  <c r="I67" i="64"/>
  <c r="J67" i="64" s="1"/>
  <c r="AH51" i="64"/>
  <c r="X38" i="64"/>
  <c r="O39" i="64"/>
  <c r="F37" i="28"/>
  <c r="F41" i="28" s="1"/>
  <c r="F43" i="28" s="1"/>
  <c r="AA80" i="64"/>
  <c r="U66" i="64"/>
  <c r="V66" i="64" s="1"/>
  <c r="V38" i="64"/>
  <c r="AE50" i="64"/>
  <c r="Q66" i="64"/>
  <c r="R66" i="64" s="1"/>
  <c r="R38" i="64"/>
  <c r="Y66" i="64"/>
  <c r="Z38" i="64"/>
  <c r="I16" i="57"/>
  <c r="M40" i="64"/>
  <c r="F21" i="57"/>
  <c r="G6" i="57" s="1"/>
  <c r="D52" i="25"/>
  <c r="E52" i="25"/>
  <c r="F52" i="25"/>
  <c r="G45" i="64"/>
  <c r="G52" i="64"/>
  <c r="F32" i="57"/>
  <c r="F36" i="57" s="1"/>
  <c r="G32" i="57" s="1"/>
  <c r="G36" i="57" s="1"/>
  <c r="H32" i="57" s="1"/>
  <c r="H36" i="57" s="1"/>
  <c r="I32" i="57" s="1"/>
  <c r="I36" i="57" s="1"/>
  <c r="J32" i="57" s="1"/>
  <c r="J36" i="57" s="1"/>
  <c r="K32" i="57" s="1"/>
  <c r="K36" i="57" s="1"/>
  <c r="L32" i="57" s="1"/>
  <c r="L36" i="57" s="1"/>
  <c r="M32" i="57" s="1"/>
  <c r="M36" i="57" s="1"/>
  <c r="N32" i="57" s="1"/>
  <c r="N36" i="57" s="1"/>
  <c r="O32" i="57" s="1"/>
  <c r="O36" i="57" s="1"/>
  <c r="F29" i="57"/>
  <c r="G25" i="57" s="1"/>
  <c r="G29" i="57" s="1"/>
  <c r="H25" i="57" s="1"/>
  <c r="H29" i="57" s="1"/>
  <c r="I25" i="57" s="1"/>
  <c r="I29" i="57" s="1"/>
  <c r="J25" i="57" s="1"/>
  <c r="J29" i="57" s="1"/>
  <c r="K25" i="57" s="1"/>
  <c r="K29" i="57" s="1"/>
  <c r="L25" i="57" s="1"/>
  <c r="L29" i="57" s="1"/>
  <c r="M25" i="57" s="1"/>
  <c r="M29" i="57" s="1"/>
  <c r="N25" i="57" s="1"/>
  <c r="N29" i="57" s="1"/>
  <c r="O25" i="57" s="1"/>
  <c r="O29" i="57" s="1"/>
  <c r="E44" i="24" l="1"/>
  <c r="F6" i="24" s="1"/>
  <c r="F44" i="24" s="1"/>
  <c r="G6" i="24" s="1"/>
  <c r="G44" i="24" s="1"/>
  <c r="H6" i="24" s="1"/>
  <c r="H44" i="24" s="1"/>
  <c r="I6" i="24" s="1"/>
  <c r="I44" i="24" s="1"/>
  <c r="E6" i="26" s="1"/>
  <c r="E45" i="26" s="1"/>
  <c r="F6" i="26" s="1"/>
  <c r="F45" i="26" s="1"/>
  <c r="G6" i="26" s="1"/>
  <c r="G45" i="26" s="1"/>
  <c r="H6" i="26" s="1"/>
  <c r="H45" i="26" s="1"/>
  <c r="E6" i="31" s="1"/>
  <c r="E44" i="31" s="1"/>
  <c r="F6" i="31" s="1"/>
  <c r="F44" i="31" s="1"/>
  <c r="G6" i="31" s="1"/>
  <c r="G44" i="31" s="1"/>
  <c r="H6" i="31" s="1"/>
  <c r="H44" i="31" s="1"/>
  <c r="D16" i="56"/>
  <c r="D20" i="56" s="1"/>
  <c r="J20" i="56" s="1"/>
  <c r="J16" i="56"/>
  <c r="I18" i="60"/>
  <c r="R17" i="60"/>
  <c r="U17" i="60"/>
  <c r="K16" i="57"/>
  <c r="B31" i="33"/>
  <c r="F40" i="20"/>
  <c r="F46" i="20" s="1"/>
  <c r="F48" i="20" s="1"/>
  <c r="E46" i="20"/>
  <c r="E48" i="20" s="1"/>
  <c r="C49" i="17"/>
  <c r="D44" i="17"/>
  <c r="D44" i="19"/>
  <c r="C47" i="19"/>
  <c r="C49" i="19" s="1"/>
  <c r="R42" i="60"/>
  <c r="S41" i="60"/>
  <c r="S42" i="60" s="1"/>
  <c r="J87" i="24"/>
  <c r="E89" i="24"/>
  <c r="E91" i="24" s="1"/>
  <c r="F58" i="24" s="1"/>
  <c r="F91" i="24" s="1"/>
  <c r="G58" i="24" s="1"/>
  <c r="G91" i="24" s="1"/>
  <c r="H58" i="24" s="1"/>
  <c r="H91" i="24" s="1"/>
  <c r="F41" i="19"/>
  <c r="E72" i="23"/>
  <c r="E74" i="23" s="1"/>
  <c r="F41" i="23" s="1"/>
  <c r="F74" i="23" s="1"/>
  <c r="G41" i="23" s="1"/>
  <c r="G74" i="23" s="1"/>
  <c r="H41" i="23" s="1"/>
  <c r="H74" i="23" s="1"/>
  <c r="I70" i="23"/>
  <c r="Q40" i="64"/>
  <c r="Q68" i="64" s="1"/>
  <c r="R68" i="64" s="1"/>
  <c r="P40" i="64"/>
  <c r="O67" i="64"/>
  <c r="P39" i="64"/>
  <c r="Q39" i="64"/>
  <c r="K15" i="57"/>
  <c r="F74" i="64"/>
  <c r="Z66" i="64"/>
  <c r="M68" i="64"/>
  <c r="N40" i="64"/>
  <c r="G53" i="64"/>
  <c r="I49" i="64" s="1"/>
  <c r="G59" i="64"/>
  <c r="G60" i="64" s="1"/>
  <c r="I56" i="64" s="1"/>
  <c r="I8" i="64"/>
  <c r="H46" i="64"/>
  <c r="H74" i="64" s="1"/>
  <c r="P68" i="64"/>
  <c r="B60" i="33" l="1"/>
  <c r="B9" i="33"/>
  <c r="B10" i="33" s="1"/>
  <c r="S17" i="60"/>
  <c r="S18" i="60" s="1"/>
  <c r="R18" i="60"/>
  <c r="K17" i="57"/>
  <c r="K19" i="57" s="1"/>
  <c r="K28" i="57" s="1"/>
  <c r="K35" i="57" s="1"/>
  <c r="L16" i="57"/>
  <c r="C31" i="33"/>
  <c r="C60" i="33" s="1"/>
  <c r="C9" i="33" s="1"/>
  <c r="C51" i="17"/>
  <c r="C53" i="17"/>
  <c r="B5" i="29" s="1"/>
  <c r="E44" i="17"/>
  <c r="D49" i="17"/>
  <c r="E44" i="19"/>
  <c r="D47" i="19"/>
  <c r="D49" i="19" s="1"/>
  <c r="S40" i="64"/>
  <c r="T40" i="64" s="1"/>
  <c r="R40" i="64"/>
  <c r="R39" i="64"/>
  <c r="Q67" i="64"/>
  <c r="Q41" i="64"/>
  <c r="Q43" i="64" s="1"/>
  <c r="Q52" i="64" s="1"/>
  <c r="Q59" i="64" s="1"/>
  <c r="P67" i="64"/>
  <c r="N68" i="64"/>
  <c r="U40" i="64" l="1"/>
  <c r="U68" i="64" s="1"/>
  <c r="V68" i="64" s="1"/>
  <c r="M16" i="57"/>
  <c r="L15" i="57"/>
  <c r="L17" i="57" s="1"/>
  <c r="L19" i="57" s="1"/>
  <c r="D31" i="33"/>
  <c r="D60" i="33" s="1"/>
  <c r="D9" i="33" s="1"/>
  <c r="R41" i="64"/>
  <c r="R43" i="64" s="1"/>
  <c r="D51" i="17"/>
  <c r="D53" i="17"/>
  <c r="F44" i="17"/>
  <c r="F49" i="17" s="1"/>
  <c r="E49" i="17"/>
  <c r="F44" i="19"/>
  <c r="F47" i="19" s="1"/>
  <c r="F49" i="19" s="1"/>
  <c r="E47" i="19"/>
  <c r="E49" i="19" s="1"/>
  <c r="S68" i="64"/>
  <c r="T68" i="64" s="1"/>
  <c r="S39" i="64"/>
  <c r="S67" i="64" s="1"/>
  <c r="R67" i="64"/>
  <c r="R69" i="64" s="1"/>
  <c r="R71" i="64" s="1"/>
  <c r="Q69" i="64"/>
  <c r="Q71" i="64" s="1"/>
  <c r="V40" i="64" l="1"/>
  <c r="U39" i="64"/>
  <c r="U41" i="64" s="1"/>
  <c r="U43" i="64" s="1"/>
  <c r="U52" i="64" s="1"/>
  <c r="U59" i="64" s="1"/>
  <c r="M15" i="57"/>
  <c r="M17" i="57" s="1"/>
  <c r="M19" i="57" s="1"/>
  <c r="M28" i="57" s="1"/>
  <c r="M35" i="57" s="1"/>
  <c r="E31" i="33"/>
  <c r="E60" i="33" s="1"/>
  <c r="E9" i="33" s="1"/>
  <c r="S41" i="64"/>
  <c r="S43" i="64" s="1"/>
  <c r="S52" i="64" s="1"/>
  <c r="S59" i="64" s="1"/>
  <c r="F53" i="17"/>
  <c r="F51" i="17"/>
  <c r="E51" i="17"/>
  <c r="E53" i="17"/>
  <c r="T39" i="64"/>
  <c r="T41" i="64" s="1"/>
  <c r="T43" i="64" s="1"/>
  <c r="L28" i="57"/>
  <c r="L35" i="57" s="1"/>
  <c r="T67" i="64"/>
  <c r="T69" i="64" s="1"/>
  <c r="T71" i="64" s="1"/>
  <c r="S69" i="64"/>
  <c r="S71" i="64" s="1"/>
  <c r="N15" i="57"/>
  <c r="W39" i="64"/>
  <c r="V39" i="64" l="1"/>
  <c r="V41" i="64" s="1"/>
  <c r="V43" i="64" s="1"/>
  <c r="N16" i="57"/>
  <c r="N17" i="57" s="1"/>
  <c r="N19" i="57" s="1"/>
  <c r="N28" i="57" s="1"/>
  <c r="N35" i="57" s="1"/>
  <c r="W40" i="64"/>
  <c r="W68" i="64" s="1"/>
  <c r="X68" i="64" s="1"/>
  <c r="U67" i="64"/>
  <c r="U69" i="64" s="1"/>
  <c r="U71" i="64" s="1"/>
  <c r="F31" i="33"/>
  <c r="F60" i="33" s="1"/>
  <c r="F9" i="33" s="1"/>
  <c r="Y40" i="64"/>
  <c r="O16" i="57"/>
  <c r="B6" i="29"/>
  <c r="F4" i="19"/>
  <c r="X39" i="64"/>
  <c r="W67" i="64"/>
  <c r="W41" i="64" l="1"/>
  <c r="W43" i="64" s="1"/>
  <c r="W52" i="64" s="1"/>
  <c r="W59" i="64" s="1"/>
  <c r="X40" i="64"/>
  <c r="X41" i="64" s="1"/>
  <c r="X43" i="64" s="1"/>
  <c r="V67" i="64"/>
  <c r="V69" i="64" s="1"/>
  <c r="V71" i="64" s="1"/>
  <c r="G31" i="33"/>
  <c r="G60" i="33" s="1"/>
  <c r="G9" i="33" s="1"/>
  <c r="Y68" i="64"/>
  <c r="Z68" i="64" s="1"/>
  <c r="Z40" i="64"/>
  <c r="D4" i="19"/>
  <c r="D51" i="19" s="1"/>
  <c r="D4" i="20" s="1"/>
  <c r="D50" i="20" s="1"/>
  <c r="D4" i="25" s="1"/>
  <c r="D54" i="25" s="1"/>
  <c r="D4" i="27" s="1"/>
  <c r="D46" i="27" s="1"/>
  <c r="D4" i="28" s="1"/>
  <c r="D45" i="28" s="1"/>
  <c r="D4" i="32" s="1"/>
  <c r="D54" i="32" s="1"/>
  <c r="C4" i="19"/>
  <c r="C51" i="19" s="1"/>
  <c r="E4" i="19"/>
  <c r="E51" i="19" s="1"/>
  <c r="E4" i="20" s="1"/>
  <c r="E50" i="20" s="1"/>
  <c r="E4" i="25" s="1"/>
  <c r="E54" i="25" s="1"/>
  <c r="E4" i="27" s="1"/>
  <c r="E46" i="27" s="1"/>
  <c r="E4" i="28" s="1"/>
  <c r="E45" i="28" s="1"/>
  <c r="E4" i="32" s="1"/>
  <c r="E54" i="32" s="1"/>
  <c r="F51" i="19"/>
  <c r="X67" i="64"/>
  <c r="X69" i="64" s="1"/>
  <c r="X71" i="64" s="1"/>
  <c r="W69" i="64"/>
  <c r="W71" i="64" s="1"/>
  <c r="O15" i="57"/>
  <c r="Y39" i="64"/>
  <c r="H31" i="33" l="1"/>
  <c r="H60" i="33" s="1"/>
  <c r="F53" i="19"/>
  <c r="F4" i="20"/>
  <c r="F50" i="20" s="1"/>
  <c r="C5" i="29"/>
  <c r="C4" i="20"/>
  <c r="C50" i="20" s="1"/>
  <c r="Y67" i="64"/>
  <c r="Z39" i="64"/>
  <c r="Y41" i="64"/>
  <c r="P15" i="57"/>
  <c r="O17" i="57"/>
  <c r="O19" i="57" s="1"/>
  <c r="T15" i="57"/>
  <c r="H9" i="33" l="1"/>
  <c r="I31" i="33"/>
  <c r="I60" i="33" s="1"/>
  <c r="I9" i="33" s="1"/>
  <c r="C4" i="25"/>
  <c r="C54" i="25" s="1"/>
  <c r="D5" i="29"/>
  <c r="F4" i="25"/>
  <c r="F54" i="25" s="1"/>
  <c r="D6" i="29"/>
  <c r="O28" i="57"/>
  <c r="O35" i="57" s="1"/>
  <c r="Z67" i="64"/>
  <c r="Y69" i="64"/>
  <c r="Y71" i="64" s="1"/>
  <c r="Z41" i="64"/>
  <c r="Z43" i="64" s="1"/>
  <c r="AE39" i="64"/>
  <c r="AA39" i="64"/>
  <c r="Y43" i="64"/>
  <c r="N29" i="33" l="1"/>
  <c r="K31" i="33"/>
  <c r="K60" i="33" s="1"/>
  <c r="K9" i="33" s="1"/>
  <c r="J31" i="33"/>
  <c r="J60" i="33" s="1"/>
  <c r="J9" i="33" s="1"/>
  <c r="E6" i="29"/>
  <c r="F4" i="27"/>
  <c r="F46" i="27" s="1"/>
  <c r="C4" i="27"/>
  <c r="C46" i="27" s="1"/>
  <c r="E5" i="29"/>
  <c r="AA67" i="64"/>
  <c r="Z69" i="64"/>
  <c r="Z71" i="64" s="1"/>
  <c r="Y52" i="64"/>
  <c r="Y59" i="64" s="1"/>
  <c r="L31" i="33" l="1"/>
  <c r="L60" i="33" s="1"/>
  <c r="L9" i="33" s="1"/>
  <c r="F5" i="29"/>
  <c r="C4" i="28"/>
  <c r="C45" i="28" s="1"/>
  <c r="F4" i="28"/>
  <c r="F45" i="28" s="1"/>
  <c r="F47" i="27"/>
  <c r="M31" i="33" l="1"/>
  <c r="N27" i="33"/>
  <c r="N31" i="33" s="1"/>
  <c r="F4" i="32"/>
  <c r="F54" i="32" s="1"/>
  <c r="G55" i="32" s="1"/>
  <c r="G46" i="28"/>
  <c r="G5" i="29"/>
  <c r="C4" i="32"/>
  <c r="C54" i="32" s="1"/>
  <c r="H5" i="29" s="1"/>
  <c r="M60" i="33" l="1"/>
  <c r="M9" i="33" s="1"/>
  <c r="P31" i="33"/>
  <c r="P60" i="33"/>
  <c r="P9" i="33"/>
  <c r="P10" i="33" s="1"/>
  <c r="N60" i="33"/>
  <c r="N9" i="33" l="1"/>
  <c r="I40" i="64"/>
  <c r="I41" i="64" s="1"/>
  <c r="I43" i="64" s="1"/>
  <c r="G16" i="57"/>
  <c r="J40" i="64" l="1"/>
  <c r="J41" i="64" s="1"/>
  <c r="J43" i="64" s="1"/>
  <c r="J45" i="64" s="1"/>
  <c r="L8" i="64" s="1"/>
  <c r="I68" i="64"/>
  <c r="J68" i="64" s="1"/>
  <c r="J69" i="64" s="1"/>
  <c r="J71" i="64" s="1"/>
  <c r="J73" i="64" s="1"/>
  <c r="G17" i="57"/>
  <c r="G19" i="57" s="1"/>
  <c r="I52" i="64"/>
  <c r="I45" i="64"/>
  <c r="K8" i="64" s="1"/>
  <c r="I69" i="64" l="1"/>
  <c r="I71" i="64" s="1"/>
  <c r="I73" i="64" s="1"/>
  <c r="G28" i="57"/>
  <c r="G35" i="57" s="1"/>
  <c r="G21" i="57"/>
  <c r="H6" i="57" s="1"/>
  <c r="I53" i="64"/>
  <c r="K49" i="64" s="1"/>
  <c r="I59" i="64"/>
  <c r="I60" i="64" s="1"/>
  <c r="J46" i="64"/>
  <c r="J74" i="64" s="1"/>
  <c r="K56" i="64" l="1"/>
  <c r="K60" i="64" l="1"/>
  <c r="K53" i="64"/>
  <c r="M49" i="64" s="1"/>
  <c r="M56" i="64" s="1"/>
  <c r="M60" i="64" s="1"/>
  <c r="M53" i="64" l="1"/>
  <c r="O49" i="64" s="1"/>
  <c r="O53" i="64" l="1"/>
  <c r="Q49" i="64" s="1"/>
  <c r="O56" i="64"/>
  <c r="O60" i="64" s="1"/>
  <c r="Q53" i="64" l="1"/>
  <c r="S49" i="64" s="1"/>
  <c r="Q56" i="64"/>
  <c r="Q60" i="64" s="1"/>
  <c r="S53" i="64" l="1"/>
  <c r="U49" i="64" s="1"/>
  <c r="S56" i="64"/>
  <c r="S60" i="64" s="1"/>
  <c r="U56" i="64" l="1"/>
  <c r="U60" i="64" s="1"/>
  <c r="U53" i="64"/>
  <c r="W49" i="64" s="1"/>
  <c r="W56" i="64" l="1"/>
  <c r="W60" i="64" s="1"/>
  <c r="W53" i="64"/>
  <c r="Y49" i="64" s="1"/>
  <c r="Y53" i="64" l="1"/>
  <c r="Y56" i="64"/>
  <c r="Y60" i="64" s="1"/>
  <c r="K40" i="64" l="1"/>
  <c r="H16" i="57"/>
  <c r="L40" i="64" l="1"/>
  <c r="K68" i="64"/>
  <c r="P16" i="57"/>
  <c r="T16" i="57"/>
  <c r="AA40" i="64" l="1"/>
  <c r="AE40" i="64"/>
  <c r="L68" i="64"/>
  <c r="AA68" i="64" l="1"/>
  <c r="K38" i="64" l="1"/>
  <c r="L38" i="64" s="1"/>
  <c r="L41" i="64" s="1"/>
  <c r="L43" i="64" s="1"/>
  <c r="L45" i="64" s="1"/>
  <c r="H14" i="57"/>
  <c r="H17" i="57" s="1"/>
  <c r="H19" i="57" s="1"/>
  <c r="H21" i="57" s="1"/>
  <c r="I6" i="57" s="1"/>
  <c r="K41" i="64" l="1"/>
  <c r="K43" i="64" s="1"/>
  <c r="K66" i="64"/>
  <c r="L66" i="64" s="1"/>
  <c r="L69" i="64" s="1"/>
  <c r="L71" i="64" s="1"/>
  <c r="L73" i="64" s="1"/>
  <c r="H28" i="57"/>
  <c r="H35" i="57" s="1"/>
  <c r="N8" i="64"/>
  <c r="K69" i="64" l="1"/>
  <c r="K71" i="64" s="1"/>
  <c r="K73" i="64" s="1"/>
  <c r="AA43" i="64"/>
  <c r="AB43" i="64" s="1"/>
  <c r="K52" i="64"/>
  <c r="K59" i="64" s="1"/>
  <c r="K45" i="64"/>
  <c r="M8" i="64" l="1"/>
  <c r="L46" i="64"/>
  <c r="L74" i="64" s="1"/>
  <c r="I14" i="57" l="1"/>
  <c r="M38" i="64"/>
  <c r="J14" i="57" l="1"/>
  <c r="J17" i="57" s="1"/>
  <c r="J19" i="57" s="1"/>
  <c r="J28" i="57" s="1"/>
  <c r="J35" i="57" s="1"/>
  <c r="O38" i="64"/>
  <c r="O41" i="64" s="1"/>
  <c r="O43" i="64" s="1"/>
  <c r="N38" i="64"/>
  <c r="N41" i="64" s="1"/>
  <c r="M41" i="64"/>
  <c r="M66" i="64"/>
  <c r="I17" i="57"/>
  <c r="I19" i="57" s="1"/>
  <c r="O66" i="64" l="1"/>
  <c r="P66" i="64" s="1"/>
  <c r="P69" i="64" s="1"/>
  <c r="P71" i="64" s="1"/>
  <c r="P38" i="64"/>
  <c r="P41" i="64" s="1"/>
  <c r="P43" i="64" s="1"/>
  <c r="T14" i="57"/>
  <c r="T17" i="57" s="1"/>
  <c r="P14" i="57"/>
  <c r="M43" i="64"/>
  <c r="O52" i="64"/>
  <c r="O59" i="64" s="1"/>
  <c r="I28" i="57"/>
  <c r="I35" i="57" s="1"/>
  <c r="I21" i="57"/>
  <c r="J6" i="57" s="1"/>
  <c r="J21" i="57" s="1"/>
  <c r="K6" i="57" s="1"/>
  <c r="K21" i="57" s="1"/>
  <c r="L6" i="57" s="1"/>
  <c r="L21" i="57" s="1"/>
  <c r="M6" i="57" s="1"/>
  <c r="M21" i="57" s="1"/>
  <c r="N6" i="57" s="1"/>
  <c r="N21" i="57" s="1"/>
  <c r="O6" i="57" s="1"/>
  <c r="O21" i="57" s="1"/>
  <c r="W26" i="57" s="1"/>
  <c r="W28" i="57" s="1"/>
  <c r="N66" i="64"/>
  <c r="N69" i="64" s="1"/>
  <c r="M69" i="64"/>
  <c r="M71" i="64" s="1"/>
  <c r="M73" i="64" s="1"/>
  <c r="O69" i="64" l="1"/>
  <c r="O71" i="64" s="1"/>
  <c r="O73" i="64" s="1"/>
  <c r="Q73" i="64" s="1"/>
  <c r="S73" i="64" s="1"/>
  <c r="U73" i="64" s="1"/>
  <c r="W73" i="64" s="1"/>
  <c r="Y73" i="64" s="1"/>
  <c r="AA38" i="64"/>
  <c r="AE38" i="64"/>
  <c r="AA41" i="64"/>
  <c r="AA66" i="64"/>
  <c r="M45" i="64"/>
  <c r="O8" i="64" s="1"/>
  <c r="O45" i="64" s="1"/>
  <c r="Q8" i="64" s="1"/>
  <c r="Q45" i="64" s="1"/>
  <c r="S8" i="64" s="1"/>
  <c r="S45" i="64" s="1"/>
  <c r="U8" i="64" s="1"/>
  <c r="U45" i="64" s="1"/>
  <c r="W8" i="64" s="1"/>
  <c r="W45" i="64" s="1"/>
  <c r="Y8" i="64" s="1"/>
  <c r="Y45" i="64" s="1"/>
  <c r="AH50" i="64" s="1"/>
  <c r="AH52" i="64" s="1"/>
  <c r="M52" i="64"/>
  <c r="M59" i="64" s="1"/>
  <c r="N11" i="64" l="1"/>
  <c r="N79" i="64" s="1"/>
  <c r="AA79" i="64" s="1"/>
  <c r="N35" i="64" l="1"/>
  <c r="N43" i="64" l="1"/>
  <c r="N45" i="64" s="1"/>
  <c r="N71" i="64"/>
  <c r="N73" i="64" s="1"/>
  <c r="P73" i="64" s="1"/>
  <c r="R73" i="64" s="1"/>
  <c r="T73" i="64" s="1"/>
  <c r="V73" i="64" s="1"/>
  <c r="X73" i="64" s="1"/>
  <c r="Z73" i="64" s="1"/>
  <c r="AA73" i="64" s="1"/>
  <c r="P8" i="64" l="1"/>
  <c r="P45" i="64" s="1"/>
  <c r="N46" i="64"/>
  <c r="N74" i="64" s="1"/>
  <c r="P46" i="64" l="1"/>
  <c r="P74" i="64" s="1"/>
  <c r="R8" i="64"/>
  <c r="R45" i="64" s="1"/>
  <c r="T8" i="64" l="1"/>
  <c r="T45" i="64" s="1"/>
  <c r="R46" i="64"/>
  <c r="R74" i="64" s="1"/>
  <c r="T46" i="64" l="1"/>
  <c r="T74" i="64" s="1"/>
  <c r="V8" i="64"/>
  <c r="V45" i="64" s="1"/>
  <c r="X8" i="64" l="1"/>
  <c r="X45" i="64" s="1"/>
  <c r="V46" i="64"/>
  <c r="V74" i="64" s="1"/>
  <c r="X46" i="64" l="1"/>
  <c r="X74" i="64" s="1"/>
  <c r="Z8" i="64"/>
  <c r="Z45" i="64" s="1"/>
  <c r="Z46" i="64" s="1"/>
  <c r="Z74" i="64" s="1"/>
  <c r="N10" i="33" l="1"/>
  <c r="C7" i="33" l="1"/>
  <c r="C10" i="33" s="1"/>
  <c r="D7" i="33" l="1"/>
  <c r="D10" i="33" s="1"/>
  <c r="E7" i="33" l="1"/>
  <c r="E10" i="33" s="1"/>
  <c r="F7" i="33" l="1"/>
  <c r="F10" i="33" s="1"/>
  <c r="G7" i="33" l="1"/>
  <c r="G10" i="33" s="1"/>
  <c r="H7" i="33" l="1"/>
  <c r="H10" i="33" s="1"/>
  <c r="I7" i="33" l="1"/>
  <c r="I10" i="33" s="1"/>
  <c r="J7" i="33" l="1"/>
  <c r="J10" i="33" s="1"/>
  <c r="K7" i="33" l="1"/>
  <c r="K10" i="33" s="1"/>
  <c r="L7" i="33" l="1"/>
  <c r="L10" i="33" s="1"/>
  <c r="M7" i="33" l="1"/>
  <c r="M10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Deborah Salman</author>
  </authors>
  <commentList>
    <comment ref="I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Deborah Salman:</t>
        </r>
        <r>
          <rPr>
            <sz val="9"/>
            <color indexed="81"/>
            <rFont val="Tahoma"/>
            <family val="2"/>
          </rPr>
          <t xml:space="preserve">
May Vitalty add £20k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spo-s.skillman</author>
  </authors>
  <commentList>
    <comment ref="E47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Diff due to difference between week end and month end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spo-s.skillman</author>
  </authors>
  <commentList>
    <comment ref="K50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CDCF grant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spo-s.skillman</author>
  </authors>
  <commentList>
    <comment ref="I32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Sported unrestricted</t>
        </r>
      </text>
    </comment>
    <comment ref="I33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CDCF grant</t>
        </r>
      </text>
    </comment>
    <comment ref="I34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CDCF grant</t>
        </r>
      </text>
    </comment>
    <comment ref="E35" authorId="0" shapeId="0" xr:uid="{00000000-0006-0000-1C00-000004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Payment to be cancelled</t>
        </r>
      </text>
    </comment>
    <comment ref="I35" authorId="0" shapeId="0" xr:uid="{00000000-0006-0000-1C00-000005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BT Supporters Club grant</t>
        </r>
      </text>
    </comment>
    <comment ref="I36" authorId="0" shapeId="0" xr:uid="{00000000-0006-0000-1C00-000006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Allchurches grant</t>
        </r>
      </text>
    </comment>
    <comment ref="I46" authorId="0" shapeId="0" xr:uid="{00000000-0006-0000-1C00-000007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CDCF grant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spo-s.skillman</author>
  </authors>
  <commentList>
    <comment ref="E29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spo-s.skillman:</t>
        </r>
        <r>
          <rPr>
            <sz val="9"/>
            <color indexed="81"/>
            <rFont val="Tahoma"/>
            <family val="2"/>
          </rPr>
          <t xml:space="preserve">
Payment to be cancelled</t>
        </r>
      </text>
    </comment>
  </commentList>
</comments>
</file>

<file path=xl/sharedStrings.xml><?xml version="1.0" encoding="utf-8"?>
<sst xmlns="http://schemas.openxmlformats.org/spreadsheetml/2006/main" count="1940" uniqueCount="843">
  <si>
    <t>SPORTED FOUNDATION</t>
  </si>
  <si>
    <t>RESERVES FORECAST - NO INCOME DEFERRALS</t>
  </si>
  <si>
    <t>Actual and projected</t>
  </si>
  <si>
    <t>Projected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</si>
  <si>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</si>
  <si>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</si>
  <si>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</si>
  <si>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</si>
  <si>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</si>
  <si>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</si>
  <si>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</si>
  <si>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</si>
  <si>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</si>
  <si>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</si>
  <si>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</si>
  <si>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</si>
  <si>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March to Dec</t>
  </si>
  <si>
    <t>Rest</t>
  </si>
  <si>
    <t>Unrest</t>
  </si>
  <si>
    <t>£'000</t>
  </si>
  <si>
    <t>Balance bfwd</t>
  </si>
  <si>
    <t>Income:</t>
  </si>
  <si>
    <t>s/be</t>
  </si>
  <si>
    <t>Pipeline</t>
  </si>
  <si>
    <t>Contracted</t>
  </si>
  <si>
    <t>Spread over life of project:</t>
  </si>
  <si>
    <t>Income is rounded so total slightly diff to detail</t>
  </si>
  <si>
    <t>BLF to May</t>
  </si>
  <si>
    <t>Ronson 12m</t>
  </si>
  <si>
    <t>LMCT 6m</t>
  </si>
  <si>
    <t>London Sport 6m</t>
  </si>
  <si>
    <t xml:space="preserve">Baillie Gifford </t>
  </si>
  <si>
    <t>BLF new</t>
  </si>
  <si>
    <t>I month left BG</t>
  </si>
  <si>
    <t>Reaching Communities</t>
  </si>
  <si>
    <t>Restricted funds - July anything over £30k</t>
  </si>
  <si>
    <t>Restricted funds - Aug</t>
  </si>
  <si>
    <t>Restricted funds - Sept</t>
  </si>
  <si>
    <t>Restricted funds - Oct</t>
  </si>
  <si>
    <t>Restricted funds - Nov</t>
  </si>
  <si>
    <t>Restricted funds - Dec</t>
  </si>
  <si>
    <t>Deferred as income for set period</t>
  </si>
  <si>
    <t>Expenditure - based on cash flow and  estimated %s as per budget</t>
  </si>
  <si>
    <t xml:space="preserve">Staff costs - Restricted </t>
  </si>
  <si>
    <t>Property costs - Restricted</t>
  </si>
  <si>
    <t>Other - Restricted</t>
  </si>
  <si>
    <t xml:space="preserve">Movement </t>
  </si>
  <si>
    <t>Balance cfwd</t>
  </si>
  <si>
    <t>Total reserves cfwd</t>
  </si>
  <si>
    <t>Check</t>
  </si>
  <si>
    <t>Diff</t>
  </si>
  <si>
    <t>S/be bank</t>
  </si>
  <si>
    <t>Im slip</t>
  </si>
  <si>
    <t>Expenditure - based on expenses in January</t>
  </si>
  <si>
    <t>Unres</t>
  </si>
  <si>
    <t>Res</t>
  </si>
  <si>
    <t>Corporate</t>
  </si>
  <si>
    <t>Individuals</t>
  </si>
  <si>
    <t>Trusts and Foundations</t>
  </si>
  <si>
    <t>CURRENT ACCOUNT ONLY</t>
  </si>
  <si>
    <t>APRIL</t>
  </si>
  <si>
    <t>TOTAL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</si>
  <si>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</si>
  <si>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</si>
  <si>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</si>
  <si>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</si>
  <si>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</si>
  <si>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</si>
  <si>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</si>
  <si>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</si>
  <si>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</si>
  <si>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</si>
  <si>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</si>
  <si>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PROJECTED</t>
  </si>
  <si>
    <t>Oct</t>
  </si>
  <si>
    <t>Nov</t>
  </si>
  <si>
    <t>Feb</t>
  </si>
  <si>
    <t>Mar</t>
  </si>
  <si>
    <t>Apr</t>
  </si>
  <si>
    <t>Jun</t>
  </si>
  <si>
    <t>Jul</t>
  </si>
  <si>
    <t>Aug</t>
  </si>
  <si>
    <t>Sep</t>
  </si>
  <si>
    <t>Dec</t>
  </si>
  <si>
    <t>START OF WEEK PER BANK</t>
  </si>
  <si>
    <t>BALANCE AT END OF MONTH</t>
  </si>
  <si>
    <t xml:space="preserve">  CRV II</t>
  </si>
  <si>
    <t xml:space="preserve">      Payroll - net</t>
  </si>
  <si>
    <t xml:space="preserve">      Pension</t>
  </si>
  <si>
    <t xml:space="preserve">      PAYE / NI </t>
  </si>
  <si>
    <t>OTHER COSTS</t>
  </si>
  <si>
    <t>Credit card and staff expenses</t>
  </si>
  <si>
    <t>Mentor/volunteer expenses</t>
  </si>
  <si>
    <t>2019 PIPELINE SCENARIO EXERCISE</t>
  </si>
  <si>
    <r>
      <t>NOTE:</t>
    </r>
    <r>
      <rPr>
        <i/>
        <sz val="11"/>
        <color theme="1"/>
        <rFont val="Calibri"/>
        <family val="2"/>
        <scheme val="minor"/>
      </rPr>
      <t xml:space="preserve"> Base data from pipeline as at 22-Feb-2019 and meeting with Tom and Nicola 25/2/19</t>
    </r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</si>
  <si>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</si>
  <si>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</si>
  <si>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</si>
  <si>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</si>
  <si>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</si>
  <si>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</si>
  <si>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</si>
  <si>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</si>
  <si>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</si>
  <si>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</si>
  <si>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</si>
  <si>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AV PCM</t>
  </si>
  <si>
    <t>Mar to Dec</t>
  </si>
  <si>
    <t>PIPELINE</t>
  </si>
  <si>
    <t>CONTRACTED</t>
  </si>
  <si>
    <t>BASE TOTAL</t>
  </si>
  <si>
    <t>SCENARIO 1</t>
  </si>
  <si>
    <t>A &gt; % SLIP</t>
  </si>
  <si>
    <t>B &gt; MONTHS SLIP</t>
  </si>
  <si>
    <t>C &gt; RESULTING TOTAL</t>
  </si>
  <si>
    <t>SCENARIO 2</t>
  </si>
  <si>
    <t>SCENARIO 3</t>
  </si>
  <si>
    <t>SCENARIO 4</t>
  </si>
  <si>
    <t>Basic monthly outgoings</t>
  </si>
  <si>
    <t>12 Mnth</t>
  </si>
  <si>
    <t xml:space="preserve">  People</t>
  </si>
  <si>
    <t xml:space="preserve">  Property</t>
  </si>
  <si>
    <t xml:space="preserve">  Other</t>
  </si>
  <si>
    <t>CASHFLOW FORECAST</t>
  </si>
  <si>
    <t>SUMMARY PIPELINE/CONTRACTED</t>
  </si>
  <si>
    <t>100% pipeline</t>
  </si>
  <si>
    <t>Pipeline (rounded to £1,000)</t>
  </si>
  <si>
    <t>A</t>
  </si>
  <si>
    <t>From 22 Feb pipeline updated 25 Feb</t>
  </si>
  <si>
    <t>Contracted (rounded to £1,000)</t>
  </si>
  <si>
    <t>Expenditure:</t>
  </si>
  <si>
    <t>Staff costs</t>
  </si>
  <si>
    <t>Property costs</t>
  </si>
  <si>
    <t>Other</t>
  </si>
  <si>
    <t xml:space="preserve">Net movement </t>
  </si>
  <si>
    <t>Scenarios</t>
  </si>
  <si>
    <t>Bfwd</t>
  </si>
  <si>
    <t>Original pipeline as above - remove</t>
  </si>
  <si>
    <t>Net movement as above</t>
  </si>
  <si>
    <t>Cfwd</t>
  </si>
  <si>
    <t>SLIP</t>
  </si>
  <si>
    <t>%</t>
  </si>
  <si>
    <t>MONTH CASH FLOW FORECAST</t>
  </si>
  <si>
    <t>Last updated: 1st August 2018</t>
  </si>
  <si>
    <t>Current account balance - 1st July 2018</t>
  </si>
  <si>
    <t>Res / Unres</t>
  </si>
  <si>
    <t>INCOME</t>
  </si>
  <si>
    <t>SCHEDULED</t>
  </si>
  <si>
    <t>RECEIVED</t>
  </si>
  <si>
    <t>LEAD</t>
  </si>
  <si>
    <t xml:space="preserve">  COMMENT / RISK</t>
  </si>
  <si>
    <t xml:space="preserve">  NOTE / ACTION (to be deleted when completed)</t>
  </si>
  <si>
    <t xml:space="preserve">  Britvic</t>
  </si>
  <si>
    <t>CWP</t>
  </si>
  <si>
    <t xml:space="preserve">  Wimbledon collection estimate</t>
  </si>
  <si>
    <t xml:space="preserve">  Major Donor - KMI</t>
  </si>
  <si>
    <t>UnRest</t>
  </si>
  <si>
    <t>Sporting Bodies</t>
  </si>
  <si>
    <t xml:space="preserve">  Sport NI Engage Her new contract</t>
  </si>
  <si>
    <t>BK</t>
  </si>
  <si>
    <t xml:space="preserve">  Received 13th July</t>
  </si>
  <si>
    <t xml:space="preserve">  VirginMoneyGiving</t>
  </si>
  <si>
    <t xml:space="preserve">  David Pearlman Charitable Trust</t>
  </si>
  <si>
    <t xml:space="preserve">  Cash receipts from Britvic staff</t>
  </si>
  <si>
    <t xml:space="preserve">  Women in Sport</t>
  </si>
  <si>
    <t xml:space="preserve">  Department of Work and Pensions</t>
  </si>
  <si>
    <t xml:space="preserve">  Royal London Scotlife</t>
  </si>
  <si>
    <t xml:space="preserve">  AIP Account</t>
  </si>
  <si>
    <t xml:space="preserve">  PIPELINE |EXPECTED | CONFIRMED | RECEIVED INCOME</t>
  </si>
  <si>
    <t xml:space="preserve">  PAYMENTS</t>
  </si>
  <si>
    <t xml:space="preserve">  Restricted and unrestricted out week 27</t>
  </si>
  <si>
    <t xml:space="preserve">  ACTUAL</t>
  </si>
  <si>
    <t xml:space="preserve">  Includes transfer of £21,983 to Women in Sport</t>
  </si>
  <si>
    <t xml:space="preserve">  Restricted and unrestricted out week 28</t>
  </si>
  <si>
    <t xml:space="preserve">  ACTUAL incl £200k repayment</t>
  </si>
  <si>
    <t xml:space="preserve">  Restricted and unrestricted out week 29</t>
  </si>
  <si>
    <t xml:space="preserve">  ACTUAL incl £100k repayment</t>
  </si>
  <si>
    <t xml:space="preserve">  Restricted and unrestricted out week 30</t>
  </si>
  <si>
    <t xml:space="preserve">  ACTUAL incl £50k repayment</t>
  </si>
  <si>
    <t xml:space="preserve">  Restricted and unrestricted out week 31a</t>
  </si>
  <si>
    <t xml:space="preserve">  ACTUAL incl £25k repayment</t>
  </si>
  <si>
    <t xml:space="preserve">    Reconciliation adjustment</t>
  </si>
  <si>
    <t xml:space="preserve">  Pre-adjustment difference the same as June - so permanent difference requiring adjustment - SSK 01-Aug-18</t>
  </si>
  <si>
    <t xml:space="preserve">      TOTAL PAYMENTS</t>
  </si>
  <si>
    <t xml:space="preserve">  NET CASHFLOW FOR MONTH</t>
  </si>
  <si>
    <t>Projected current account balance - 31st July 2018</t>
  </si>
  <si>
    <r>
      <t xml:space="preserve">KEY: </t>
    </r>
    <r>
      <rPr>
        <b/>
        <sz val="10"/>
        <color rgb="FF002060"/>
        <rFont val="Calibri"/>
        <family val="2"/>
        <scheme val="minor"/>
      </rPr>
      <t>[RAG colour is about timing and not whether or not income will be received]</t>
    </r>
  </si>
  <si>
    <r>
      <rPr>
        <b/>
        <sz val="10"/>
        <color theme="1"/>
        <rFont val="Calibri"/>
        <family val="2"/>
        <scheme val="minor"/>
      </rPr>
      <t xml:space="preserve">  Pipeline</t>
    </r>
    <r>
      <rPr>
        <sz val="10"/>
        <color theme="1"/>
        <rFont val="Calibri"/>
        <family val="2"/>
        <scheme val="minor"/>
      </rPr>
      <t xml:space="preserve"> - revenues included in pipeline document</t>
    </r>
  </si>
  <si>
    <r>
      <rPr>
        <b/>
        <sz val="10"/>
        <color theme="1"/>
        <rFont val="Calibri"/>
        <family val="2"/>
        <scheme val="minor"/>
      </rPr>
      <t xml:space="preserve">  Committed </t>
    </r>
    <r>
      <rPr>
        <sz val="10"/>
        <color theme="1"/>
        <rFont val="Calibri"/>
        <family val="2"/>
        <scheme val="minor"/>
      </rPr>
      <t>- funding source has indicated that a payment will be made</t>
    </r>
  </si>
  <si>
    <r>
      <rPr>
        <b/>
        <sz val="10"/>
        <color theme="1"/>
        <rFont val="Calibri"/>
        <family val="2"/>
        <scheme val="minor"/>
      </rPr>
      <t xml:space="preserve">  Scheduled</t>
    </r>
    <r>
      <rPr>
        <sz val="10"/>
        <color theme="1"/>
        <rFont val="Calibri"/>
        <family val="2"/>
        <scheme val="minor"/>
      </rPr>
      <t xml:space="preserve"> - funding source has confirmed payment authorisation / approval</t>
    </r>
  </si>
  <si>
    <r>
      <rPr>
        <b/>
        <sz val="10"/>
        <color theme="1"/>
        <rFont val="Calibri"/>
        <family val="2"/>
        <scheme val="minor"/>
      </rPr>
      <t xml:space="preserve">  Received</t>
    </r>
    <r>
      <rPr>
        <sz val="10"/>
        <color theme="1"/>
        <rFont val="Calibri"/>
        <family val="2"/>
        <scheme val="minor"/>
      </rPr>
      <t xml:space="preserve"> - revenues have been paid into bank account</t>
    </r>
  </si>
  <si>
    <t xml:space="preserve">  High risk of payment not being made in this month</t>
  </si>
  <si>
    <t xml:space="preserve">  Medium risk of payment not being made in this month</t>
  </si>
  <si>
    <t xml:space="preserve">  Low risk of payment not being made in this month</t>
  </si>
  <si>
    <t>Last updated: 26th June 2018</t>
  </si>
  <si>
    <t>Current account balance - 1st June 2018</t>
  </si>
  <si>
    <t xml:space="preserve">  TSB - core</t>
  </si>
  <si>
    <t>TBU</t>
  </si>
  <si>
    <t xml:space="preserve">  Q2 payment in arrears</t>
  </si>
  <si>
    <t xml:space="preserve">  TSB - variable</t>
  </si>
  <si>
    <t xml:space="preserve">  Agreed to pay for all hubs up front</t>
  </si>
  <si>
    <t xml:space="preserve">  Mischon de Reya</t>
  </si>
  <si>
    <t xml:space="preserve">  Meeting in March</t>
  </si>
  <si>
    <t xml:space="preserve">  Major donor - LA</t>
  </si>
  <si>
    <t>TB</t>
  </si>
  <si>
    <t>£10k no gift aid</t>
  </si>
  <si>
    <t xml:space="preserve">  Gift Aid</t>
  </si>
  <si>
    <t>CG</t>
  </si>
  <si>
    <t>received 15/06</t>
  </si>
  <si>
    <t xml:space="preserve">  Sport NI Engage Her II</t>
  </si>
  <si>
    <t>BKE</t>
  </si>
  <si>
    <t xml:space="preserve">  Final payment due on 17/18 funding</t>
  </si>
  <si>
    <t xml:space="preserve">  Funds from old HSBC accounts</t>
  </si>
  <si>
    <t xml:space="preserve">  Interest</t>
  </si>
  <si>
    <t xml:space="preserve">  Restricted and unrestricted out week 23</t>
  </si>
  <si>
    <t xml:space="preserve">  Actual</t>
  </si>
  <si>
    <t xml:space="preserve">  Restricted and unrestricted out week 24</t>
  </si>
  <si>
    <t xml:space="preserve">  Restricted and unrestricted out week 25</t>
  </si>
  <si>
    <t xml:space="preserve">  Restricted and unrestricted out week 26</t>
  </si>
  <si>
    <t>Projected current account balance - 30th June 2018</t>
  </si>
  <si>
    <t>Last updated: 31st May 2018</t>
  </si>
  <si>
    <t>Current account balance - 1st May 2018</t>
  </si>
  <si>
    <t xml:space="preserve">  PL</t>
  </si>
  <si>
    <t xml:space="preserve"> Received 1st May</t>
  </si>
  <si>
    <t xml:space="preserve">  Marathon places</t>
  </si>
  <si>
    <t xml:space="preserve"> Fundraising continuing</t>
  </si>
  <si>
    <t xml:space="preserve">  SKM</t>
  </si>
  <si>
    <t xml:space="preserve"> Received 15th May</t>
  </si>
  <si>
    <t xml:space="preserve">  BLF Wales</t>
  </si>
  <si>
    <t>RT</t>
  </si>
  <si>
    <t xml:space="preserve">  Received 4th May</t>
  </si>
  <si>
    <t xml:space="preserve">  Jebsen foundation</t>
  </si>
  <si>
    <t xml:space="preserve">  Received 31st May</t>
  </si>
  <si>
    <t xml:space="preserve">  David Pearlman Charitable Foundation</t>
  </si>
  <si>
    <t xml:space="preserve">  Misc donation</t>
  </si>
  <si>
    <t xml:space="preserve">  Charities Trust</t>
  </si>
  <si>
    <t xml:space="preserve">  Restricted and unrestricted out week 18</t>
  </si>
  <si>
    <t xml:space="preserve">  Restricted and unrestricted out week 19</t>
  </si>
  <si>
    <t xml:space="preserve">  Restricted and unrestricted out week 20</t>
  </si>
  <si>
    <t xml:space="preserve">  Restricted and unrestricted out week 21</t>
  </si>
  <si>
    <t xml:space="preserve">  Restricted and unrestricted out week 22</t>
  </si>
  <si>
    <t>Projected current account balance - 31st May 2018</t>
  </si>
  <si>
    <t xml:space="preserve">  Reconciliation difference </t>
  </si>
  <si>
    <t>WEEKLY CASHFLOW (SUMMARY)</t>
  </si>
  <si>
    <t>Week &gt;&gt;&gt;</t>
  </si>
  <si>
    <t>Due</t>
  </si>
  <si>
    <t>M 2 Apr</t>
  </si>
  <si>
    <t>M 9 Apr</t>
  </si>
  <si>
    <t>M 16 Apr</t>
  </si>
  <si>
    <t>M 23 Apr</t>
  </si>
  <si>
    <t>Opening balance</t>
  </si>
  <si>
    <t>Analysis of 'Others'</t>
  </si>
  <si>
    <t>Contracted income</t>
  </si>
  <si>
    <t xml:space="preserve">  AI Media</t>
  </si>
  <si>
    <t xml:space="preserve">  TSB - Activation Funds</t>
  </si>
  <si>
    <t xml:space="preserve">  Allen Lane</t>
  </si>
  <si>
    <t xml:space="preserve">  Caterina Wooden</t>
  </si>
  <si>
    <t xml:space="preserve">  East Belfast Enterprise</t>
  </si>
  <si>
    <t xml:space="preserve">  Grants out</t>
  </si>
  <si>
    <t xml:space="preserve">  Holywell Town FC (£500) and North East Athletic (£2,000.92)</t>
  </si>
  <si>
    <t xml:space="preserve">  Grays</t>
  </si>
  <si>
    <t xml:space="preserve">  Mentor expenses</t>
  </si>
  <si>
    <t xml:space="preserve">  ESTIMATE - BASED ON PREVIOUS MONTH</t>
  </si>
  <si>
    <t xml:space="preserve">  Oaks</t>
  </si>
  <si>
    <t xml:space="preserve">  Kiddi Vouchers</t>
  </si>
  <si>
    <t xml:space="preserve">  Coates Foundation </t>
  </si>
  <si>
    <t xml:space="preserve">  Like Digital Media</t>
  </si>
  <si>
    <t xml:space="preserve">  Quarterly website maintenance fee</t>
  </si>
  <si>
    <t xml:space="preserve">  Porticus Trust</t>
  </si>
  <si>
    <t xml:space="preserve">  London Sport</t>
  </si>
  <si>
    <t xml:space="preserve">  February room hire</t>
  </si>
  <si>
    <t xml:space="preserve">  Probase</t>
  </si>
  <si>
    <t xml:space="preserve">  Sayer Vincent</t>
  </si>
  <si>
    <t xml:space="preserve">  Spiral Brand Communications</t>
  </si>
  <si>
    <t xml:space="preserve">  Sport England - Core Funding</t>
  </si>
  <si>
    <t xml:space="preserve">  Staff expenses</t>
  </si>
  <si>
    <t xml:space="preserve">  CREDIT CARD - INCLUDES £3k TRAVEL + TEAM GATHERING FOOD</t>
  </si>
  <si>
    <t xml:space="preserve">  Sport NI - Engage Her II</t>
  </si>
  <si>
    <t xml:space="preserve">  CASH &amp; MILEAGE - BASED ON PREVIOUS MONTH</t>
  </si>
  <si>
    <t xml:space="preserve">  DCLG</t>
  </si>
  <si>
    <t xml:space="preserve">  Stephen Skillman</t>
  </si>
  <si>
    <t xml:space="preserve">  London Marathon Charitable Trust</t>
  </si>
  <si>
    <t xml:space="preserve">  ESTIMATE</t>
  </si>
  <si>
    <t xml:space="preserve">  Virtual IT</t>
  </si>
  <si>
    <t xml:space="preserve">  Automatic transaction</t>
  </si>
  <si>
    <t xml:space="preserve">  Vodafone</t>
  </si>
  <si>
    <t xml:space="preserve">  Yellow Ball</t>
  </si>
  <si>
    <t xml:space="preserve">  03/Apr Deferred to May as no invoice received yet</t>
  </si>
  <si>
    <t xml:space="preserve">  JustGiving</t>
  </si>
  <si>
    <t xml:space="preserve">  Other income</t>
  </si>
  <si>
    <t>Payments</t>
  </si>
  <si>
    <t xml:space="preserve">  Payroll</t>
  </si>
  <si>
    <t xml:space="preserve">  Will be paid 26th April (week 17)</t>
  </si>
  <si>
    <t xml:space="preserve">  Small transactions</t>
  </si>
  <si>
    <t xml:space="preserve">  PAYE / NI</t>
  </si>
  <si>
    <r>
      <t xml:space="preserve">  Will be paid </t>
    </r>
    <r>
      <rPr>
        <b/>
        <sz val="11"/>
        <color rgb="FFFF0000"/>
        <rFont val="Calibri"/>
        <family val="2"/>
        <scheme val="minor"/>
      </rPr>
      <t>Fri 20th April</t>
    </r>
    <r>
      <rPr>
        <sz val="11"/>
        <color theme="1"/>
        <rFont val="Calibri"/>
        <family val="2"/>
        <scheme val="minor"/>
      </rPr>
      <t xml:space="preserve"> (week 16)</t>
    </r>
  </si>
  <si>
    <t xml:space="preserve">  Pension</t>
  </si>
  <si>
    <t xml:space="preserve">  Total others</t>
  </si>
  <si>
    <t xml:space="preserve">  Rent</t>
  </si>
  <si>
    <t xml:space="preserve">  Others</t>
  </si>
  <si>
    <t xml:space="preserve">    Total out</t>
  </si>
  <si>
    <t xml:space="preserve">  </t>
  </si>
  <si>
    <t xml:space="preserve">        Total out per weekly forecast</t>
  </si>
  <si>
    <r>
      <t xml:space="preserve">Net in / </t>
    </r>
    <r>
      <rPr>
        <b/>
        <sz val="11"/>
        <color rgb="FFFF0000"/>
        <rFont val="Calibri"/>
        <family val="2"/>
        <scheme val="minor"/>
      </rPr>
      <t>(out)</t>
    </r>
  </si>
  <si>
    <t>Closing balance</t>
  </si>
  <si>
    <t>Check to bank</t>
  </si>
  <si>
    <t xml:space="preserve">        Diff to weekly forecast</t>
  </si>
  <si>
    <t>Last updated: 16th May 2018</t>
  </si>
  <si>
    <t>Current account balance - 1st April 2018</t>
  </si>
  <si>
    <t xml:space="preserve">  TSB - Core</t>
  </si>
  <si>
    <r>
      <t xml:space="preserve">  INV 183 raised and received by TSB - </t>
    </r>
    <r>
      <rPr>
        <sz val="10"/>
        <color rgb="FFFF0000"/>
        <rFont val="Calibri"/>
        <family val="2"/>
        <scheme val="minor"/>
      </rPr>
      <t>funds in 13-Apr</t>
    </r>
  </si>
  <si>
    <t xml:space="preserve">  TSB - Variable</t>
  </si>
  <si>
    <r>
      <t xml:space="preserve">  Inv raised based on 30 branches - inc. in INV 183 - </t>
    </r>
    <r>
      <rPr>
        <sz val="10"/>
        <color rgb="FFFF0000"/>
        <rFont val="Calibri"/>
        <family val="2"/>
        <scheme val="minor"/>
      </rPr>
      <t>funds in 13-Apr</t>
    </r>
  </si>
  <si>
    <t xml:space="preserve">  TSB - via Sported Trading</t>
  </si>
  <si>
    <r>
      <t xml:space="preserve">  INV 2018/003 raised and received by TSB - </t>
    </r>
    <r>
      <rPr>
        <sz val="10"/>
        <color rgb="FFFF0000"/>
        <rFont val="Calibri"/>
        <family val="2"/>
        <scheme val="minor"/>
      </rPr>
      <t>funds in 13-Apr</t>
    </r>
  </si>
  <si>
    <t xml:space="preserve">  TSB to Trading company</t>
  </si>
  <si>
    <r>
      <t xml:space="preserve">  Invoice 2018/001 raised 12/1; need PO number - </t>
    </r>
    <r>
      <rPr>
        <sz val="10"/>
        <color rgb="FFFF0000"/>
        <rFont val="Calibri"/>
        <family val="2"/>
        <scheme val="minor"/>
      </rPr>
      <t>funds in 13-Apr</t>
    </r>
  </si>
  <si>
    <t xml:space="preserve">  Marathon fundraising</t>
  </si>
  <si>
    <t xml:space="preserve"> invoiced, to pay by the end of the week</t>
  </si>
  <si>
    <t>KB / SH</t>
  </si>
  <si>
    <r>
      <t xml:space="preserve">  24-Nov | Per Sandra, moved from 15 Jan to 15 Mar, payment notification received - </t>
    </r>
    <r>
      <rPr>
        <sz val="10"/>
        <color rgb="FFFF0000"/>
        <rFont val="Calibri"/>
        <family val="2"/>
        <scheme val="minor"/>
      </rPr>
      <t>funds in 17-Apr</t>
    </r>
  </si>
  <si>
    <t xml:space="preserve">  Tennis Foundation</t>
  </si>
  <si>
    <t>KB</t>
  </si>
  <si>
    <t xml:space="preserve">  Inv 180 raised and sent w/ due date 31-Mar for period Jan - March 2018. </t>
  </si>
  <si>
    <t xml:space="preserve">  DWP</t>
  </si>
  <si>
    <t xml:space="preserve">  Restricted and unrestricted out week 14</t>
  </si>
  <si>
    <t xml:space="preserve">  Restricted and unrestricted out week 15</t>
  </si>
  <si>
    <t xml:space="preserve">  In April Zoom includes WiS P51 payment</t>
  </si>
  <si>
    <t xml:space="preserve">  Restricted and unrestricted out week 16</t>
  </si>
  <si>
    <t xml:space="preserve">  Restricted and unrestricted out week 17</t>
  </si>
  <si>
    <t xml:space="preserve">  Transfer to Sported Trading</t>
  </si>
  <si>
    <t xml:space="preserve">  Credit card deposit</t>
  </si>
  <si>
    <t>Projected current account balance - 30th Apr 2018</t>
  </si>
  <si>
    <t>Actual balance - 30th Apr 2018</t>
  </si>
  <si>
    <t xml:space="preserve">  Reconciliation difference as £1k PL funds paid into new account</t>
  </si>
  <si>
    <t>10</t>
  </si>
  <si>
    <t>11</t>
  </si>
  <si>
    <t>12</t>
  </si>
  <si>
    <t>13</t>
  </si>
  <si>
    <t>M 5 Mar</t>
  </si>
  <si>
    <t>M 12 Mar</t>
  </si>
  <si>
    <t>M 19 Mar</t>
  </si>
  <si>
    <t>M 26 Mar</t>
  </si>
  <si>
    <t xml:space="preserve">  INV 183 raised and received by TSB</t>
  </si>
  <si>
    <t xml:space="preserve">  Beigebell</t>
  </si>
  <si>
    <t xml:space="preserve">  Should be based on 30 branches - inc. in INV 183</t>
  </si>
  <si>
    <t xml:space="preserve">  Brand Oath</t>
  </si>
  <si>
    <t xml:space="preserve">  INV 2018/003 raised and received by TSB</t>
  </si>
  <si>
    <t xml:space="preserve">  Colin Mitchell</t>
  </si>
  <si>
    <t xml:space="preserve">  Baillie Gifford</t>
  </si>
  <si>
    <t xml:space="preserve">  Charity Job / Job Ladder</t>
  </si>
  <si>
    <t xml:space="preserve">  New job advertisement</t>
  </si>
  <si>
    <t xml:space="preserve">  Grants out (cheques)</t>
  </si>
  <si>
    <t xml:space="preserve">  Guardian News and Media</t>
  </si>
  <si>
    <t xml:space="preserve">  Ibis hotels</t>
  </si>
  <si>
    <t xml:space="preserve">  Due after 6-monthly report submitted</t>
  </si>
  <si>
    <t xml:space="preserve">  Marc Avery</t>
  </si>
  <si>
    <t xml:space="preserve">  Comic Relief - Project 51</t>
  </si>
  <si>
    <t xml:space="preserve">  No invoice raised for Feb or Mar</t>
  </si>
  <si>
    <t xml:space="preserve">  NICVA</t>
  </si>
  <si>
    <t xml:space="preserve">  Price Bailey</t>
  </si>
  <si>
    <t xml:space="preserve">  LME SCR</t>
  </si>
  <si>
    <t xml:space="preserve">  Due 31st March</t>
  </si>
  <si>
    <t xml:space="preserve">  Invoice anticipated</t>
  </si>
  <si>
    <t xml:space="preserve">  County Sports Partnerships - SE</t>
  </si>
  <si>
    <t xml:space="preserve">  CREDIT CARD - ACTUAL</t>
  </si>
  <si>
    <t xml:space="preserve">  Tim Sice</t>
  </si>
  <si>
    <t xml:space="preserve">  February invoice rec'd 9 Mar</t>
  </si>
  <si>
    <t xml:space="preserve">  Team gathering</t>
  </si>
  <si>
    <t xml:space="preserve">  Estimate</t>
  </si>
  <si>
    <t xml:space="preserve">  Will be paid 26th March (week 13)</t>
  </si>
  <si>
    <r>
      <t xml:space="preserve">  </t>
    </r>
    <r>
      <rPr>
        <b/>
        <sz val="11"/>
        <color theme="1"/>
        <rFont val="Calibri"/>
        <family val="2"/>
        <scheme val="minor"/>
      </rPr>
      <t>Defer</t>
    </r>
    <r>
      <rPr>
        <sz val="11"/>
        <color theme="1"/>
        <rFont val="Calibri"/>
        <family val="2"/>
        <scheme val="minor"/>
      </rPr>
      <t xml:space="preserve"> payment of £15,120 to week 14</t>
    </r>
  </si>
  <si>
    <t xml:space="preserve">  Voluntary Action Leicester</t>
  </si>
  <si>
    <t xml:space="preserve">  Volunteer expenses</t>
  </si>
  <si>
    <t xml:space="preserve">  New home page for website [2 x £1,282.50 payments due subsequently</t>
  </si>
  <si>
    <t xml:space="preserve">  Payments 1 Mar to 3 Mar</t>
  </si>
  <si>
    <t>Last updated: 6th April 2018</t>
  </si>
  <si>
    <t>Current account balance - 1st Mar 2018</t>
  </si>
  <si>
    <t xml:space="preserve">  Baillie Gifford (new)</t>
  </si>
  <si>
    <t>TB / CR</t>
  </si>
  <si>
    <t xml:space="preserve">  To support Project 51,  invoice 178 raised 21/2; </t>
  </si>
  <si>
    <t>Received 28 March</t>
  </si>
  <si>
    <t xml:space="preserve">  Virgin money £3,765, JustGiving £3,086</t>
  </si>
  <si>
    <t>KB/ LH</t>
  </si>
  <si>
    <t xml:space="preserve">  Sch 15/3 following receipt of 6 month report</t>
  </si>
  <si>
    <t xml:space="preserve">  LME CSR</t>
  </si>
  <si>
    <t>HV</t>
  </si>
  <si>
    <t xml:space="preserve">  Inv 179 raised due date 20-Mar | Inv sent 05-Mar</t>
  </si>
  <si>
    <t>Received 21 Mar</t>
  </si>
  <si>
    <t xml:space="preserve">  DB account transfer</t>
  </si>
  <si>
    <t xml:space="preserve">  Income account transfer</t>
  </si>
  <si>
    <t xml:space="preserve">  Britvic Soft Drink</t>
  </si>
  <si>
    <t xml:space="preserve">  Card Aid</t>
  </si>
  <si>
    <t xml:space="preserve">  Gross Interest</t>
  </si>
  <si>
    <t xml:space="preserve">  CAF1803062238CF</t>
  </si>
  <si>
    <t xml:space="preserve">  Restricted and unrestricted out week 10</t>
  </si>
  <si>
    <t xml:space="preserve">  Restricted and unrestricted out week 11</t>
  </si>
  <si>
    <t xml:space="preserve">  Restricted and unrestricted out week 12</t>
  </si>
  <si>
    <t xml:space="preserve">  Restricted and unrestricted out week 13</t>
  </si>
  <si>
    <t xml:space="preserve">  WiS payment for Project 51</t>
  </si>
  <si>
    <t xml:space="preserve">  Deferred to April</t>
  </si>
  <si>
    <t>Projected current account balance - 31st Mar 2018</t>
  </si>
  <si>
    <t>Actual balance - 31st Mar 2018</t>
  </si>
  <si>
    <t>05</t>
  </si>
  <si>
    <t>06</t>
  </si>
  <si>
    <t>07</t>
  </si>
  <si>
    <t>08</t>
  </si>
  <si>
    <t>09</t>
  </si>
  <si>
    <t xml:space="preserve">  TSB to trading company</t>
  </si>
  <si>
    <t xml:space="preserve">  Jamieson Corporate Finance</t>
  </si>
  <si>
    <t xml:space="preserve">  Received 19th Feb</t>
  </si>
  <si>
    <t xml:space="preserve">  Hendy's cars</t>
  </si>
  <si>
    <t xml:space="preserve">  Guardian advertisement</t>
  </si>
  <si>
    <t xml:space="preserve">  IBIS Hotels</t>
  </si>
  <si>
    <t xml:space="preserve">  Major donor - PL</t>
  </si>
  <si>
    <t xml:space="preserve">  Funds received 2nd Feb</t>
  </si>
  <si>
    <t xml:space="preserve">  Mark Avery</t>
  </si>
  <si>
    <t xml:space="preserve">  CSP London</t>
  </si>
  <si>
    <t xml:space="preserve">  Meltwater</t>
  </si>
  <si>
    <t xml:space="preserve">  Received 23rd Feb</t>
  </si>
  <si>
    <t xml:space="preserve">  Sport England Volunteering</t>
  </si>
  <si>
    <t xml:space="preserve">  Received 13th Feb</t>
  </si>
  <si>
    <t xml:space="preserve">  Payroll + auto-enrolment</t>
  </si>
  <si>
    <t xml:space="preserve">  LND Marathon Events CSR</t>
  </si>
  <si>
    <t xml:space="preserve">  Major donor A</t>
  </si>
  <si>
    <t xml:space="preserve"> not contracted, pipeline only</t>
  </si>
  <si>
    <t xml:space="preserve">  CREDIT CARD - ACTUAL / ESTIMATE</t>
  </si>
  <si>
    <t xml:space="preserve">  DB account tfr</t>
  </si>
  <si>
    <t xml:space="preserve">  CASH &amp; MILEAGE - ACTUAL / ESTIMATE</t>
  </si>
  <si>
    <t xml:space="preserve">  New laptops</t>
  </si>
  <si>
    <t xml:space="preserve">  Britvic Soft Drinks</t>
  </si>
  <si>
    <t xml:space="preserve">  Will be paid 26th February (week 9)</t>
  </si>
  <si>
    <t xml:space="preserve">  Last date for payment is 22nd February but paid slightly sooner</t>
  </si>
  <si>
    <t>01</t>
  </si>
  <si>
    <t>02</t>
  </si>
  <si>
    <t>03</t>
  </si>
  <si>
    <t>04</t>
  </si>
  <si>
    <t>Contracted and pipeline income</t>
  </si>
  <si>
    <t xml:space="preserve">  STV</t>
  </si>
  <si>
    <t xml:space="preserve">  TSB donation</t>
  </si>
  <si>
    <t xml:space="preserve">  Pipeline</t>
  </si>
  <si>
    <t xml:space="preserve">  Creative Artists Agency fundraiser</t>
  </si>
  <si>
    <t xml:space="preserve">  Major donor B2</t>
  </si>
  <si>
    <t xml:space="preserve">  Esmee Fairbairn</t>
  </si>
  <si>
    <t xml:space="preserve">  Power to change (wave 2)</t>
  </si>
  <si>
    <t xml:space="preserve">  Sport NI</t>
  </si>
  <si>
    <t xml:space="preserve">  LMCT</t>
  </si>
  <si>
    <t xml:space="preserve">  London Marathon CT</t>
  </si>
  <si>
    <t xml:space="preserve">  London Marathon CSR donation</t>
  </si>
  <si>
    <t xml:space="preserve">  London Marathon - SQ</t>
  </si>
  <si>
    <t xml:space="preserve">  London Marathon - HV</t>
  </si>
  <si>
    <t xml:space="preserve">  County Sports Partnerships - LND</t>
  </si>
  <si>
    <t xml:space="preserve">  Invoice £7,500 due 30th Dec</t>
  </si>
  <si>
    <t xml:space="preserve">  Estimate - will be paid 22nd December</t>
  </si>
  <si>
    <t xml:space="preserve">  Last date for payment is 22nd December but paid slightly sooner</t>
  </si>
  <si>
    <t>Last updated: 5th Mar 2018</t>
  </si>
  <si>
    <t>Current account balance - 1st Feb 2018</t>
  </si>
  <si>
    <t>TB/CWP</t>
  </si>
  <si>
    <t xml:space="preserve">  2 places at £5k ea JCF, invoiced in December, recd 19/2</t>
  </si>
  <si>
    <t>TB / RT</t>
  </si>
  <si>
    <t xml:space="preserve">  Received 2 Feb</t>
  </si>
  <si>
    <t xml:space="preserve">  Sport England - Volunteering</t>
  </si>
  <si>
    <t xml:space="preserve">  Received 13-Feb, invoiced Dec 2017</t>
  </si>
  <si>
    <t xml:space="preserve">  For period Oct-Dec 2017, invoiced in Nov 2017</t>
  </si>
  <si>
    <t xml:space="preserve"> </t>
  </si>
  <si>
    <t xml:space="preserve">  Marathon / 1/2 marathon fundraising</t>
  </si>
  <si>
    <t xml:space="preserve">  Royal London Scot Life</t>
  </si>
  <si>
    <t xml:space="preserve">  Refund of pension</t>
  </si>
  <si>
    <t xml:space="preserve">  Refund of twice-taken Direct Debit</t>
  </si>
  <si>
    <t xml:space="preserve">  Secure Data Management</t>
  </si>
  <si>
    <t xml:space="preserve">  Refund of overpayment</t>
  </si>
  <si>
    <t xml:space="preserve">  Restricted and unrestricted out week 5</t>
  </si>
  <si>
    <t xml:space="preserve">  Restricted and unrestricted out week 6</t>
  </si>
  <si>
    <t xml:space="preserve">  Restricted and unrestricted out week 7</t>
  </si>
  <si>
    <t xml:space="preserve">  Restricted and unrestricted out week 8</t>
  </si>
  <si>
    <t xml:space="preserve">  Restricted and unrestricted out week 9</t>
  </si>
  <si>
    <t xml:space="preserve">    29th to 31st Jan adjustment</t>
  </si>
  <si>
    <t xml:space="preserve">    1st to 4th Mar adjustment</t>
  </si>
  <si>
    <t>Projected current account balance - 28th Feb 2018</t>
  </si>
  <si>
    <t xml:space="preserve">  Academia</t>
  </si>
  <si>
    <t xml:space="preserve">  HSBC (Allen Lane)</t>
  </si>
  <si>
    <t xml:space="preserve">  BVSC Digbeth</t>
  </si>
  <si>
    <t xml:space="preserve">  Expected week 52 2017</t>
  </si>
  <si>
    <t xml:space="preserve">  Received 8th Jan 2018</t>
  </si>
  <si>
    <t xml:space="preserve">  Estimate - no due date</t>
  </si>
  <si>
    <t xml:space="preserve">  Due 31st January 2018</t>
  </si>
  <si>
    <t xml:space="preserve">  Morgan Hunt</t>
  </si>
  <si>
    <t xml:space="preserve">  PAID</t>
  </si>
  <si>
    <t xml:space="preserve">  CSP South East (Energise Me)</t>
  </si>
  <si>
    <t xml:space="preserve">  Payroll + auto-enrolment: Apr to Oct</t>
  </si>
  <si>
    <t xml:space="preserve">  Remittance advice rec'd 16th Jan 2018</t>
  </si>
  <si>
    <t xml:space="preserve">  Payroll + auto-enrolment: Nov and Dec</t>
  </si>
  <si>
    <t xml:space="preserve">  VAT not paid on previous invoice</t>
  </si>
  <si>
    <t xml:space="preserve">  Scottish FA</t>
  </si>
  <si>
    <t xml:space="preserve">  PAID - CREDIT CARD</t>
  </si>
  <si>
    <t xml:space="preserve">  - CASH &amp; MILEAGE</t>
  </si>
  <si>
    <t xml:space="preserve">  SE Volunteering | The Big Volunteer</t>
  </si>
  <si>
    <t xml:space="preserve">  Wings</t>
  </si>
  <si>
    <t xml:space="preserve">  Will be paid 26th January</t>
  </si>
  <si>
    <t xml:space="preserve">  Last date for payment is 22nd January but paid slightly sooner</t>
  </si>
  <si>
    <t>Last updated: 7th February 2018</t>
  </si>
  <si>
    <t>Current account balance - 1st Jan 2018</t>
  </si>
  <si>
    <t xml:space="preserve"> Invoice raised not yet reeived</t>
  </si>
  <si>
    <t xml:space="preserve">  SS to follow up setting up of bank a/c PRIORITY</t>
  </si>
  <si>
    <t xml:space="preserve">  2 places at £5k ea JCF, invoiced in December not yet received</t>
  </si>
  <si>
    <t xml:space="preserve"> Brought forward from December, now received</t>
  </si>
  <si>
    <t xml:space="preserve"> To support Project 51,awaiting response</t>
  </si>
  <si>
    <t>Move to feb</t>
  </si>
  <si>
    <t xml:space="preserve"> Marathon places</t>
  </si>
  <si>
    <t xml:space="preserve"> Working on selling places, networks contacted</t>
  </si>
  <si>
    <t xml:space="preserve">  Esmee Fairbain</t>
  </si>
  <si>
    <t>DF/CG</t>
  </si>
  <si>
    <t xml:space="preserve"> invoiced in December, now received</t>
  </si>
  <si>
    <t xml:space="preserve">  Scottish Football Association (SFA)</t>
  </si>
  <si>
    <t>CR / TB</t>
  </si>
  <si>
    <t xml:space="preserve">  original contract invoiced and due 31/12</t>
  </si>
  <si>
    <t>GR</t>
  </si>
  <si>
    <t xml:space="preserve">  Received 24-Jan-18 (invoiced Dec)</t>
  </si>
  <si>
    <t xml:space="preserve">  London Marathon Staff Time</t>
  </si>
  <si>
    <t xml:space="preserve">  Received 17-Jan-18 (invoiced Dec)</t>
  </si>
  <si>
    <t>VirginMoneyGIving</t>
  </si>
  <si>
    <t xml:space="preserve"> marathon fundraising Alex Mills</t>
  </si>
  <si>
    <t>DWP</t>
  </si>
  <si>
    <t>Charities Trust</t>
  </si>
  <si>
    <t>Britvic</t>
  </si>
  <si>
    <t>BVSC refund</t>
  </si>
  <si>
    <t xml:space="preserve">  Restricted and unrestricted out week 1</t>
  </si>
  <si>
    <t xml:space="preserve">  actual</t>
  </si>
  <si>
    <t xml:space="preserve">  Restricted and unrestricted out week 2</t>
  </si>
  <si>
    <t xml:space="preserve">  Restricted and unrestricted out week 3</t>
  </si>
  <si>
    <t xml:space="preserve">  Restricted and unrestricted out week 4</t>
  </si>
  <si>
    <t>Projected current account balance - 31st Jan 2018</t>
  </si>
  <si>
    <t xml:space="preserve">  Confirmed credit card, actual cash expp</t>
  </si>
  <si>
    <t xml:space="preserve">  Invoice due date 31st Dec</t>
  </si>
  <si>
    <t xml:space="preserve">  Moved to January</t>
  </si>
  <si>
    <t xml:space="preserve">  8th Dec: payment expected in week 50</t>
  </si>
  <si>
    <t xml:space="preserve">  Bluefin (insurance)</t>
  </si>
  <si>
    <t xml:space="preserve">  Annual premium</t>
  </si>
  <si>
    <t xml:space="preserve">  Payroll Apr to Oct</t>
  </si>
  <si>
    <t xml:space="preserve">  Welsh work</t>
  </si>
  <si>
    <t xml:space="preserve">  Invoice due date 29th Nov</t>
  </si>
  <si>
    <t xml:space="preserve">  NEW</t>
  </si>
  <si>
    <t xml:space="preserve">  Haymarket publishing</t>
  </si>
  <si>
    <t xml:space="preserve">  Invoice due date 30th Dec</t>
  </si>
  <si>
    <t>Last updated: 17th January 2018</t>
  </si>
  <si>
    <t>Current account balance - 1st Dec 2017</t>
  </si>
  <si>
    <t xml:space="preserve">  STV Appeal (Scotland)</t>
  </si>
  <si>
    <t>CR</t>
  </si>
  <si>
    <t xml:space="preserve"> 4th Dec &gt; invoice sent to STV. Received</t>
  </si>
  <si>
    <t xml:space="preserve"> Amount confirmed, cheque banked 20/12</t>
  </si>
  <si>
    <t xml:space="preserve"> Received in December</t>
  </si>
  <si>
    <t xml:space="preserve">  Sport Northern Ireland Engage Her 2</t>
  </si>
  <si>
    <t xml:space="preserve">  Form delivered by hand by Brenda 24/Nov</t>
  </si>
  <si>
    <t>LH/ KB</t>
  </si>
  <si>
    <t xml:space="preserve">  For 2 qtrs Apr - June, plus  July- Sept </t>
  </si>
  <si>
    <t xml:space="preserve">  London Marathon Charitable Trust  (LMCT)</t>
  </si>
  <si>
    <t xml:space="preserve"> Received ok</t>
  </si>
  <si>
    <t xml:space="preserve">  County Sports Partnerships - London</t>
  </si>
  <si>
    <t xml:space="preserve">  Invoice 164 raised - due 30 Dec 17, received </t>
  </si>
  <si>
    <t xml:space="preserve">  DWP refund</t>
  </si>
  <si>
    <t xml:space="preserve">  Gross interest</t>
  </si>
  <si>
    <t xml:space="preserve">  JustGiving </t>
  </si>
  <si>
    <t xml:space="preserve">  Charities trust</t>
  </si>
  <si>
    <t xml:space="preserve">  Restricted and unrestricted out week 48</t>
  </si>
  <si>
    <t xml:space="preserve">  Restricted and unrestricted out week 49</t>
  </si>
  <si>
    <t xml:space="preserve">  Restricted and unrestricted out week 50</t>
  </si>
  <si>
    <t xml:space="preserve">  Restricted and unrestricted out week 51</t>
  </si>
  <si>
    <t xml:space="preserve">  Restricted and unrestricted out week 52</t>
  </si>
  <si>
    <t xml:space="preserve">    Timing adjustment - Virtual IT</t>
  </si>
  <si>
    <t>Projected current account balance - 31st Dec 2017</t>
  </si>
  <si>
    <r>
      <t xml:space="preserve">KEY: </t>
    </r>
    <r>
      <rPr>
        <b/>
        <sz val="11"/>
        <color rgb="FF002060"/>
        <rFont val="Calibri"/>
        <family val="2"/>
        <scheme val="minor"/>
      </rPr>
      <t>[RAG colour is about timing and not whether or not income will be received]</t>
    </r>
  </si>
  <si>
    <r>
      <rPr>
        <b/>
        <sz val="11"/>
        <color theme="1"/>
        <rFont val="Calibri"/>
        <family val="2"/>
        <scheme val="minor"/>
      </rPr>
      <t xml:space="preserve">  Pipeline</t>
    </r>
    <r>
      <rPr>
        <sz val="11"/>
        <color theme="1"/>
        <rFont val="Calibri"/>
        <family val="2"/>
        <scheme val="minor"/>
      </rPr>
      <t xml:space="preserve"> - revenues included in pipeline document</t>
    </r>
  </si>
  <si>
    <r>
      <rPr>
        <b/>
        <sz val="11"/>
        <color theme="1"/>
        <rFont val="Calibri"/>
        <family val="2"/>
        <scheme val="minor"/>
      </rPr>
      <t xml:space="preserve">  Committed </t>
    </r>
    <r>
      <rPr>
        <sz val="11"/>
        <color theme="1"/>
        <rFont val="Calibri"/>
        <family val="2"/>
        <scheme val="minor"/>
      </rPr>
      <t>- funding source has indicated that a payment will be made</t>
    </r>
  </si>
  <si>
    <r>
      <rPr>
        <b/>
        <sz val="11"/>
        <color theme="1"/>
        <rFont val="Calibri"/>
        <family val="2"/>
        <scheme val="minor"/>
      </rPr>
      <t xml:space="preserve">  Scheduled</t>
    </r>
    <r>
      <rPr>
        <sz val="11"/>
        <color theme="1"/>
        <rFont val="Calibri"/>
        <family val="2"/>
        <scheme val="minor"/>
      </rPr>
      <t xml:space="preserve"> - funding source has confirmed payment authorisation / approval</t>
    </r>
  </si>
  <si>
    <r>
      <rPr>
        <b/>
        <sz val="11"/>
        <color theme="1"/>
        <rFont val="Calibri"/>
        <family val="2"/>
        <scheme val="minor"/>
      </rPr>
      <t xml:space="preserve">  Received</t>
    </r>
    <r>
      <rPr>
        <sz val="11"/>
        <color theme="1"/>
        <rFont val="Calibri"/>
        <family val="2"/>
        <scheme val="minor"/>
      </rPr>
      <t xml:space="preserve"> - revenues have been paid into bank account</t>
    </r>
  </si>
  <si>
    <t>Last updated: 4th December 2017</t>
  </si>
  <si>
    <t>Current account balance - 1st Nov 2017</t>
  </si>
  <si>
    <t xml:space="preserve">  Signia Wealth Limited</t>
  </si>
  <si>
    <t xml:space="preserve">  Received 22nd Nov</t>
  </si>
  <si>
    <t xml:space="preserve">  Major donor Scotland</t>
  </si>
  <si>
    <r>
      <t xml:space="preserve">  TB sent invoice - 10/Oct &gt; cheque banked 3 Nov &gt; bounced 9 Nov</t>
    </r>
    <r>
      <rPr>
        <b/>
        <sz val="11"/>
        <color theme="1"/>
        <rFont val="Calibri"/>
        <family val="2"/>
        <scheme val="minor"/>
      </rPr>
      <t xml:space="preserve"> &gt; restored 10 Nov</t>
    </r>
  </si>
  <si>
    <t xml:space="preserve">  CG following up, not likely</t>
  </si>
  <si>
    <r>
      <t xml:space="preserve">  Based on funding schedule &gt;</t>
    </r>
    <r>
      <rPr>
        <b/>
        <sz val="11"/>
        <color theme="1"/>
        <rFont val="Calibri"/>
        <family val="2"/>
        <scheme val="minor"/>
      </rPr>
      <t xml:space="preserve"> rec'd 3 Nov</t>
    </r>
  </si>
  <si>
    <t xml:space="preserve">  Jebsen Foundation</t>
  </si>
  <si>
    <t>CGr</t>
  </si>
  <si>
    <r>
      <t xml:space="preserve">  Payment due shortly after 16/10 &gt; </t>
    </r>
    <r>
      <rPr>
        <b/>
        <sz val="11"/>
        <color theme="1"/>
        <rFont val="Calibri"/>
        <family val="2"/>
        <scheme val="minor"/>
      </rPr>
      <t>rec'd 2/11</t>
    </r>
  </si>
  <si>
    <t xml:space="preserve">  Cargill trust</t>
  </si>
  <si>
    <r>
      <t xml:space="preserve">  Contracted. Agreement to come </t>
    </r>
    <r>
      <rPr>
        <b/>
        <sz val="11"/>
        <color theme="1"/>
        <rFont val="Calibri"/>
        <family val="2"/>
        <scheme val="minor"/>
      </rPr>
      <t>&gt; cheque rec'd 8/11</t>
    </r>
  </si>
  <si>
    <t xml:space="preserve">  w/c 2/Oct Gill expects to find out timing + contract details</t>
  </si>
  <si>
    <t xml:space="preserve">  Moved to December</t>
  </si>
  <si>
    <t xml:space="preserve">  Sport NI Engage Her 2</t>
  </si>
  <si>
    <t xml:space="preserve">  Moved to December, changed amount to £33,471.75</t>
  </si>
  <si>
    <t xml:space="preserve">  For period Apr - June invoiced, and July- Sept to be invoiced</t>
  </si>
  <si>
    <t xml:space="preserve">  6/Nov - Invoice sent to james@longlanejfc.co.uk - due date 13/Nov</t>
  </si>
  <si>
    <t>Britvic staff donations</t>
  </si>
  <si>
    <t>E A Weaver</t>
  </si>
  <si>
    <t>Just Giving</t>
  </si>
  <si>
    <t>Nicola Walker</t>
  </si>
  <si>
    <t xml:space="preserve">  Room Hire</t>
  </si>
  <si>
    <t>Received -unknown donor</t>
  </si>
  <si>
    <t>tbd</t>
  </si>
  <si>
    <r>
      <t xml:space="preserve">  SS to follow up - per HSBC '</t>
    </r>
    <r>
      <rPr>
        <b/>
        <sz val="11"/>
        <color rgb="FF0070C0"/>
        <rFont val="Calibri"/>
        <family val="2"/>
        <scheme val="minor"/>
      </rPr>
      <t>ACFOUTREACHPARTNER</t>
    </r>
    <r>
      <rPr>
        <sz val="11"/>
        <color theme="1"/>
        <rFont val="Calibri"/>
        <family val="2"/>
        <scheme val="minor"/>
      </rPr>
      <t>' - no further info. available</t>
    </r>
  </si>
  <si>
    <t xml:space="preserve">  Restricted and unrestricted out week 44</t>
  </si>
  <si>
    <t xml:space="preserve">  Restricted and unrestricted out week 45</t>
  </si>
  <si>
    <t xml:space="preserve">  Restricted and unrestricted out week 46</t>
  </si>
  <si>
    <t xml:space="preserve">  Restricted and unrestricted out week 47</t>
  </si>
  <si>
    <t xml:space="preserve">  Actual - includes Oct PAYE / NI and Nov payroll</t>
  </si>
  <si>
    <t>Projected current account balance - 30th Nov 2017</t>
  </si>
  <si>
    <t>Last updated: 6th November 2017</t>
  </si>
  <si>
    <t>Current account balance - 1st Oct 2017</t>
  </si>
  <si>
    <t xml:space="preserve">  29th May 1961 Charitable Trust</t>
  </si>
  <si>
    <t xml:space="preserve">  'Unsolicited' / unexpected</t>
  </si>
  <si>
    <t xml:space="preserve">  London marathon RM&amp; staff time </t>
  </si>
  <si>
    <t xml:space="preserve">  6/Oct - LM confirms 16/Oct payment | receipt 20/Oct</t>
  </si>
  <si>
    <t xml:space="preserve">  Sport England inactivity fund 2</t>
  </si>
  <si>
    <r>
      <t xml:space="preserve">  4/Oct - Paperwork sent to Sport England - 11/Oct TB to chase - 24/Oct 'by Friday' -</t>
    </r>
    <r>
      <rPr>
        <b/>
        <sz val="11"/>
        <color theme="1"/>
        <rFont val="Calibri"/>
        <family val="2"/>
        <scheme val="minor"/>
      </rPr>
      <t xml:space="preserve"> rec'd Fri 27/Oct</t>
    </r>
  </si>
  <si>
    <t xml:space="preserve">  Scottish Football Association current</t>
  </si>
  <si>
    <t xml:space="preserve">  6/Oct - invoice raised and sent to SFA | receipt 20/Oct</t>
  </si>
  <si>
    <t xml:space="preserve">  Britvic soft drinks</t>
  </si>
  <si>
    <t xml:space="preserve">  Restricted and unrestricted out week 40</t>
  </si>
  <si>
    <t xml:space="preserve">  Restricted and unrestricted out week 41</t>
  </si>
  <si>
    <t xml:space="preserve">  Restricted and unrestricted out week 42</t>
  </si>
  <si>
    <t xml:space="preserve">  Actual - includes Sep PAYE/NI + Women In Sport</t>
  </si>
  <si>
    <t xml:space="preserve">  Restricted and unrestricted out week 43</t>
  </si>
  <si>
    <t xml:space="preserve">  Includes Oct payroll</t>
  </si>
  <si>
    <t xml:space="preserve">  Women in Sport payment for LtF</t>
  </si>
  <si>
    <t xml:space="preserve">  41% as per agreement, not paid unless received - payment due 8th Oct</t>
  </si>
  <si>
    <t>Projected current account balance - 31st Oct 2017</t>
  </si>
  <si>
    <t>Last updated: 1st June 2017</t>
  </si>
  <si>
    <t>Current account balance - 1st May 2017</t>
  </si>
  <si>
    <t>EXPECTED</t>
  </si>
  <si>
    <t>CONFIRMED</t>
  </si>
  <si>
    <t xml:space="preserve">  Britvic 2017 (grants)</t>
  </si>
  <si>
    <t xml:space="preserve"> Received 5/5 to check split</t>
  </si>
  <si>
    <t xml:space="preserve">  Britvic 2017</t>
  </si>
  <si>
    <t>Trusts and foundations</t>
  </si>
  <si>
    <t>TB/RT</t>
  </si>
  <si>
    <t xml:space="preserve"> Received 5/5</t>
  </si>
  <si>
    <t xml:space="preserve"> Sport Northern Ireland - Ulster Rugby</t>
  </si>
  <si>
    <t xml:space="preserve"> London Marathon</t>
  </si>
  <si>
    <t xml:space="preserve"> 3 x £7.5k in two instalments, inv raised 5/5 cash received 15/5</t>
  </si>
  <si>
    <t>  Individuals identified |Paul L</t>
  </si>
  <si>
    <t> Received 5/5 Additional 10k matched funding possible</t>
  </si>
  <si>
    <t xml:space="preserve">  Inividuals identiied - J Kinder</t>
  </si>
  <si>
    <t> Inv 75 - £5k 1st Nov 16, Inv 87 - £5k 1st Dec 16, Inv 98 - £5k 1st Jan 17</t>
  </si>
  <si>
    <t>first invoice paid to date</t>
  </si>
  <si>
    <t xml:space="preserve">  Rob - DWP rebate on AI-Media invoices</t>
  </si>
  <si>
    <t xml:space="preserve">  PIPELINE | EXPECTED | CONFIRMED | RECEIVED INCOME</t>
  </si>
  <si>
    <t>APRIL PIPELINE AMOUNTS FOR MAY</t>
  </si>
  <si>
    <t xml:space="preserve">  SFA </t>
  </si>
  <si>
    <t>Quarter 1 invoice paid 5/5</t>
  </si>
  <si>
    <t xml:space="preserve">  Sport NI - "Engage Her"</t>
  </si>
  <si>
    <t xml:space="preserve">  Received 18/05</t>
  </si>
  <si>
    <t xml:space="preserve">  Sport NI - Impact Project</t>
  </si>
  <si>
    <t xml:space="preserve">  Received 19/05</t>
  </si>
  <si>
    <t>Projected current account balance - 31st May 2017</t>
  </si>
  <si>
    <r>
      <rPr>
        <b/>
        <sz val="11"/>
        <color theme="1"/>
        <rFont val="Calibri"/>
        <family val="2"/>
        <scheme val="minor"/>
      </rPr>
      <t xml:space="preserve">  Expected </t>
    </r>
    <r>
      <rPr>
        <sz val="11"/>
        <color theme="1"/>
        <rFont val="Calibri"/>
        <family val="2"/>
        <scheme val="minor"/>
      </rPr>
      <t>- funding source has indicated that a payment will be made</t>
    </r>
  </si>
  <si>
    <r>
      <rPr>
        <b/>
        <sz val="11"/>
        <color theme="1"/>
        <rFont val="Calibri"/>
        <family val="2"/>
        <scheme val="minor"/>
      </rPr>
      <t xml:space="preserve">  Confirmed</t>
    </r>
    <r>
      <rPr>
        <sz val="11"/>
        <color theme="1"/>
        <rFont val="Calibri"/>
        <family val="2"/>
        <scheme val="minor"/>
      </rPr>
      <t xml:space="preserve"> - funding source has confirmed payment authorisation / approval</t>
    </r>
  </si>
  <si>
    <t>Current account balance - 1st Mar 2017</t>
  </si>
  <si>
    <t>Last updated: 31st Mar 2017</t>
  </si>
  <si>
    <t xml:space="preserve">  COMMENT</t>
  </si>
  <si>
    <t>KEY:</t>
  </si>
  <si>
    <t>Restricted - Corporate</t>
  </si>
  <si>
    <t xml:space="preserve">  Pipeline - revenues included in pipeline document</t>
  </si>
  <si>
    <t xml:space="preserve">  TSB</t>
  </si>
  <si>
    <t xml:space="preserve">  Expected - funding source has indicated that a payment will be made</t>
  </si>
  <si>
    <t xml:space="preserve">  Confirmed - funding source has confirmed payment authorisation / approval</t>
  </si>
  <si>
    <t>Restricted - T&amp;F</t>
  </si>
  <si>
    <t xml:space="preserve">  Received - revenues have been paid into bank account</t>
  </si>
  <si>
    <t xml:space="preserve">  Winning Scotland Foundation |Workout for sport</t>
  </si>
  <si>
    <t xml:space="preserve">  Received 16th March</t>
  </si>
  <si>
    <t xml:space="preserve">  Rugby Football Development Trust</t>
  </si>
  <si>
    <t>ST</t>
  </si>
  <si>
    <t>  Invoice 103 - 28th Feb 2017, received 30/3</t>
  </si>
  <si>
    <t xml:space="preserve">  County Durham Community Foundation</t>
  </si>
  <si>
    <t xml:space="preserve">  Invoice 104 - 28th Feb 2017 [matched funding] - bank 22nd Mar</t>
  </si>
  <si>
    <t>Restricted - SB</t>
  </si>
  <si>
    <t>  Sport England - Campaign Funders</t>
  </si>
  <si>
    <t xml:space="preserve"> Moved to April</t>
  </si>
  <si>
    <t xml:space="preserve">  Received in bank 13th March</t>
  </si>
  <si>
    <t xml:space="preserve">  Sport England - BtG</t>
  </si>
  <si>
    <t>PN</t>
  </si>
  <si>
    <t>  Received in bank 31st March</t>
  </si>
  <si>
    <t xml:space="preserve">  SFA</t>
  </si>
  <si>
    <t xml:space="preserve">  Moved to April</t>
  </si>
  <si>
    <t>Unrestricted - Corporate</t>
  </si>
  <si>
    <t>Unrestricted - Individuals</t>
  </si>
  <si>
    <t xml:space="preserve">  John Kinder</t>
  </si>
  <si>
    <t xml:space="preserve">  Individuals identified (FC)</t>
  </si>
  <si>
    <t xml:space="preserve">  Pipeline shows £50k</t>
  </si>
  <si>
    <t>DF</t>
  </si>
  <si>
    <t xml:space="preserve">  Moved to May</t>
  </si>
  <si>
    <t xml:space="preserve">  Just Giving</t>
  </si>
  <si>
    <t xml:space="preserve">  Transfer from DB funds</t>
  </si>
  <si>
    <t xml:space="preserve">  Actual - Includes Feb PAYE / NI and Mar payroll</t>
  </si>
  <si>
    <t xml:space="preserve">  Includes £15k to Campaign Funders</t>
  </si>
  <si>
    <t xml:space="preserve">  Sport England - Campaign Funders - 1 of 2</t>
  </si>
  <si>
    <t xml:space="preserve">  2CV know that they won't be paid till grant received</t>
  </si>
  <si>
    <t>Grants (cheques to be paid in)</t>
  </si>
  <si>
    <t>Banked</t>
  </si>
  <si>
    <t>Grants (January cheques)</t>
  </si>
  <si>
    <t>Young Hopefuls</t>
  </si>
  <si>
    <r>
      <t xml:space="preserve">  Birmingham Community Dev -</t>
    </r>
    <r>
      <rPr>
        <sz val="11"/>
        <color rgb="FF0070C0"/>
        <rFont val="Calibri"/>
        <family val="2"/>
        <scheme val="minor"/>
      </rPr>
      <t xml:space="preserve"> CHQ 101674 </t>
    </r>
    <r>
      <rPr>
        <sz val="11"/>
        <rFont val="Calibri"/>
        <family val="2"/>
        <scheme val="minor"/>
      </rPr>
      <t>| Bank 10th March</t>
    </r>
  </si>
  <si>
    <t>Projected current account balance - 31st Mar 2017</t>
  </si>
  <si>
    <t>RECONCILING ITEMS</t>
  </si>
  <si>
    <t>MOSIMANNS 33181</t>
  </si>
  <si>
    <t>IMAGO BOOKING 279551</t>
  </si>
  <si>
    <t>JUST GIVING</t>
  </si>
  <si>
    <t>VIRTUAL IT LIMITED</t>
  </si>
  <si>
    <t>PRICE BAILEY LLP FIRST PAYMENT</t>
  </si>
  <si>
    <t xml:space="preserve">  "Payment in advance"</t>
  </si>
  <si>
    <t xml:space="preserve">  Sport England - Campaign Funders</t>
  </si>
  <si>
    <t xml:space="preserve">  In and Out?</t>
  </si>
  <si>
    <t xml:space="preserve">  "Repayment" + Banked</t>
  </si>
  <si>
    <t>-</t>
  </si>
  <si>
    <t xml:space="preserve">  "Repayment"</t>
  </si>
  <si>
    <t xml:space="preserve">  Tennis Foundation - Serves</t>
  </si>
  <si>
    <t xml:space="preserve">  London Marathon</t>
  </si>
  <si>
    <t>Current account balance - 1st Feb 2017</t>
  </si>
  <si>
    <t xml:space="preserve">  CONFIRMED INCOME</t>
  </si>
  <si>
    <t>Held</t>
  </si>
  <si>
    <r>
      <t xml:space="preserve">  Spring into action</t>
    </r>
    <r>
      <rPr>
        <sz val="11"/>
        <color theme="8" tint="-0.249977111117893"/>
        <rFont val="Calibri"/>
        <family val="2"/>
        <scheme val="minor"/>
      </rPr>
      <t xml:space="preserve"> [bank 13 Feb]</t>
    </r>
  </si>
  <si>
    <r>
      <t xml:space="preserve">Whitwood Golf Club </t>
    </r>
    <r>
      <rPr>
        <sz val="11"/>
        <color rgb="FF0070C0"/>
        <rFont val="Calibri"/>
        <family val="2"/>
        <scheme val="minor"/>
      </rPr>
      <t>[bank 01 Feb]</t>
    </r>
  </si>
  <si>
    <t xml:space="preserve">  Restricted and unrestricted out week 5 - actual</t>
  </si>
  <si>
    <r>
      <t xml:space="preserve">  Support sport </t>
    </r>
    <r>
      <rPr>
        <sz val="11"/>
        <color theme="8" tint="-0.249977111117893"/>
        <rFont val="Calibri"/>
        <family val="2"/>
        <scheme val="minor"/>
      </rPr>
      <t>[bank 22 Feb]</t>
    </r>
  </si>
  <si>
    <r>
      <t xml:space="preserve">Shildon ABC </t>
    </r>
    <r>
      <rPr>
        <sz val="11"/>
        <color rgb="FF0070C0"/>
        <rFont val="Calibri"/>
        <family val="2"/>
        <scheme val="minor"/>
      </rPr>
      <t>[bank 31 Jan]</t>
    </r>
  </si>
  <si>
    <r>
      <t xml:space="preserve">  All in youth </t>
    </r>
    <r>
      <rPr>
        <sz val="11"/>
        <color rgb="FF0070C0"/>
        <rFont val="Calibri"/>
        <family val="2"/>
        <scheme val="minor"/>
      </rPr>
      <t>[bank 16 Jan]</t>
    </r>
  </si>
  <si>
    <t xml:space="preserve">  Fathers against violence</t>
  </si>
  <si>
    <r>
      <t xml:space="preserve">Cast North West </t>
    </r>
    <r>
      <rPr>
        <sz val="11"/>
        <color theme="8" tint="-0.249977111117893"/>
        <rFont val="Calibri"/>
        <family val="2"/>
        <scheme val="minor"/>
      </rPr>
      <t>[bank 22 Feb]</t>
    </r>
  </si>
  <si>
    <t xml:space="preserve">  Expenses due week 8 </t>
  </si>
  <si>
    <r>
      <t xml:space="preserve">  Coventry Copeswood </t>
    </r>
    <r>
      <rPr>
        <sz val="11"/>
        <color rgb="FF0070C0"/>
        <rFont val="Calibri"/>
        <family val="2"/>
        <scheme val="minor"/>
      </rPr>
      <t>[bank 26 Jan]</t>
    </r>
  </si>
  <si>
    <t>Families against violence</t>
  </si>
  <si>
    <t xml:space="preserve">  PAYE week due 8</t>
  </si>
  <si>
    <t xml:space="preserve">  North East Athletic</t>
  </si>
  <si>
    <r>
      <t xml:space="preserve">(Other) - Jenny Warner </t>
    </r>
    <r>
      <rPr>
        <sz val="11"/>
        <color theme="8" tint="-0.249977111117893"/>
        <rFont val="Calibri"/>
        <family val="2"/>
        <scheme val="minor"/>
      </rPr>
      <t>[bank 08 Feb]</t>
    </r>
  </si>
  <si>
    <t xml:space="preserve">  Payroll week 8 due week 8 (estimate)</t>
  </si>
  <si>
    <t xml:space="preserve">  Other payments due out week 8 (estimate)</t>
  </si>
  <si>
    <t xml:space="preserve">  Birmingham Community Dev</t>
  </si>
  <si>
    <t xml:space="preserve">  Grants (cheques to be paid in)</t>
  </si>
  <si>
    <t xml:space="preserve">  Grants (January cheques)</t>
  </si>
  <si>
    <t xml:space="preserve">  TRANSFERS</t>
  </si>
  <si>
    <t xml:space="preserve">    Transfer from DB funds</t>
  </si>
  <si>
    <r>
      <t xml:space="preserve">Koryo Quakers </t>
    </r>
    <r>
      <rPr>
        <sz val="11"/>
        <color rgb="FF0070C0"/>
        <rFont val="Calibri"/>
        <family val="2"/>
        <scheme val="minor"/>
      </rPr>
      <t>[bank 01 Feb]</t>
    </r>
  </si>
  <si>
    <t>Projected current account balance - 28th Feb 2017</t>
  </si>
  <si>
    <t xml:space="preserve">  Comic Relief Volunteering</t>
  </si>
  <si>
    <t>SH</t>
  </si>
  <si>
    <t>Email from Olly at Comic Relief confirming receipt in first couple of weeks in Jan</t>
  </si>
  <si>
    <t xml:space="preserve">  Winning Scotland Foundation</t>
  </si>
  <si>
    <t xml:space="preserve">  Moved to March?</t>
  </si>
  <si>
    <t xml:space="preserve">  Oct donation received 3rd January</t>
  </si>
  <si>
    <t>Transfer from Scottish Widows</t>
  </si>
  <si>
    <t>Current account balance - 11th Jan 2017</t>
  </si>
  <si>
    <t xml:space="preserve">  PAYE / NI (20th Jan)</t>
  </si>
  <si>
    <t xml:space="preserve">  Spring into action</t>
  </si>
  <si>
    <t xml:space="preserve">  Payroll (26th Jan)</t>
  </si>
  <si>
    <t xml:space="preserve">  Support sport</t>
  </si>
  <si>
    <t xml:space="preserve">  Invoices (estimate) week 3</t>
  </si>
  <si>
    <t xml:space="preserve">  All in youth</t>
  </si>
  <si>
    <t xml:space="preserve">  Invoices (estimate) week 4</t>
  </si>
  <si>
    <t>Cast North West</t>
  </si>
  <si>
    <t xml:space="preserve">  Invoices (estimate) week 5</t>
  </si>
  <si>
    <t>(Other) - Jenny Warner</t>
  </si>
  <si>
    <t xml:space="preserve">  Dec expenses (estimate)</t>
  </si>
  <si>
    <t>Projected current account balance - 3rd Feb 2017</t>
  </si>
  <si>
    <t xml:space="preserve">Comparison of board report to now - cash for 1/4 ended 31 March 2019 </t>
  </si>
  <si>
    <t>Now</t>
  </si>
  <si>
    <t>Per board report January</t>
  </si>
  <si>
    <t>Difference</t>
  </si>
  <si>
    <t>Net diff</t>
  </si>
  <si>
    <t>Cash at beginning of quarter</t>
  </si>
  <si>
    <t>Cash due in - contracted per pipeline Feb, Mar</t>
  </si>
  <si>
    <t>TSB in above</t>
  </si>
  <si>
    <t>TSB cash in Jan</t>
  </si>
  <si>
    <t>Other cash in Jan</t>
  </si>
  <si>
    <t>Payments out - per cash flow Feb/Mar</t>
  </si>
  <si>
    <t>Actual January expenses out</t>
  </si>
  <si>
    <t>Andy, salary increases, WIS and SSK payments</t>
  </si>
  <si>
    <t>Subtotal</t>
  </si>
  <si>
    <t>Pipeline - Feb/Mar</t>
  </si>
  <si>
    <t>Pipeline down</t>
  </si>
  <si>
    <t>Projected cash at end of quarter</t>
  </si>
  <si>
    <t>GRAPHS</t>
  </si>
  <si>
    <t>cash at end budget</t>
  </si>
  <si>
    <t>cash at end forecast</t>
  </si>
  <si>
    <t>cash at end actual</t>
  </si>
  <si>
    <t>CASHFLOW</t>
  </si>
  <si>
    <t>Jan-June 2017 Actual</t>
  </si>
  <si>
    <t>July-Dec 2017 Actual</t>
  </si>
  <si>
    <t>Jan-June 2018 Actual</t>
  </si>
  <si>
    <t>July-Dec 2018 Forecast</t>
  </si>
  <si>
    <t>Q1 /17 Actual</t>
  </si>
  <si>
    <t>Q2 /17 Actual</t>
  </si>
  <si>
    <t>Q3 /17 Actual</t>
  </si>
  <si>
    <t>Q4 /17 Actual</t>
  </si>
  <si>
    <t>Q1 /18 Actual</t>
  </si>
  <si>
    <t>Q2 /18 Actual</t>
  </si>
  <si>
    <t>Q3 /18 Forecast</t>
  </si>
  <si>
    <t>Q4 /18 Forecast</t>
  </si>
  <si>
    <t>Q1 /19 Forecast</t>
  </si>
  <si>
    <t>Cashflow</t>
  </si>
  <si>
    <t>APRIL 20</t>
  </si>
  <si>
    <t>JANUARY 21</t>
  </si>
  <si>
    <t>Jan</t>
  </si>
  <si>
    <t>APRIL TO MAR</t>
  </si>
  <si>
    <t>TOTALS 2020/21</t>
  </si>
  <si>
    <t>Fees and subs</t>
  </si>
  <si>
    <t>Bank charges</t>
  </si>
  <si>
    <t>NAME OF ORGANISATION</t>
  </si>
  <si>
    <t>CASHFLOW FORECAST  to March 2021</t>
  </si>
  <si>
    <t>INCOME IN - links to below</t>
  </si>
  <si>
    <t>TOTAL OUT - links to below</t>
  </si>
  <si>
    <t>INCOME IN - ADD WHATEVER INCOME SOURCES YOU HAVE</t>
  </si>
  <si>
    <t>Subscriptions</t>
  </si>
  <si>
    <t>Cafe sales</t>
  </si>
  <si>
    <t>Sale of equipment</t>
  </si>
  <si>
    <t>Income from coaching</t>
  </si>
  <si>
    <t>TOTAL INCOME IN</t>
  </si>
  <si>
    <t>Interest on bank account</t>
  </si>
  <si>
    <t xml:space="preserve">STAFF COSTS </t>
  </si>
  <si>
    <t>Rent of premises</t>
  </si>
  <si>
    <t>Room rent</t>
  </si>
  <si>
    <t>PROPERTY COSTS</t>
  </si>
  <si>
    <t xml:space="preserve">Insurance </t>
  </si>
  <si>
    <t>IT</t>
  </si>
  <si>
    <t>Phones</t>
  </si>
  <si>
    <t>TOTAL COSTS - STAFF, PROPERTY AND OTHER</t>
  </si>
  <si>
    <t>Starting balance</t>
  </si>
  <si>
    <t xml:space="preserve">Total from cell N26 </t>
  </si>
  <si>
    <t>Total from cell N71</t>
  </si>
  <si>
    <t>Should equal cell N10</t>
  </si>
  <si>
    <t>Should equal cell N26</t>
  </si>
  <si>
    <t>Should equal cell N33</t>
  </si>
  <si>
    <t>Should equal cell N42</t>
  </si>
  <si>
    <t>Add others</t>
  </si>
  <si>
    <t>Add others - copy across the formula if you add rows</t>
  </si>
  <si>
    <t>STAFF COSTS TOTAL</t>
  </si>
  <si>
    <t>OTHER COSTS TOTAL</t>
  </si>
  <si>
    <t>PROPERTY COSTS TOTAL</t>
  </si>
  <si>
    <t>ACTUAL BALANCE (this then reconciles to the bank statement)</t>
  </si>
  <si>
    <t>only for general information. It is not intended to</t>
  </si>
  <si>
    <t>address your particular requirements and does</t>
  </si>
  <si>
    <t>not constitute advice from Sported.</t>
  </si>
  <si>
    <t>Disclaimer: This is an example Cash Flow Proforma and it is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</si>
</sst>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\ \ ;[Red]\(#,##0\);_-* &quot;-&quot;??_-;_-@_-"/>
    <numFmt numFmtId="167" formatCode="#,##0.00\ ;[Red]\(#,##0.00\)"/>
    <numFmt numFmtId="168" formatCode="#,##0\ ;[Red]\(#,##0\)"/>
    <numFmt numFmtId="169" formatCode="#,##0\ ;\(#,##0\)"/>
    <numFmt numFmtId="170" formatCode="#,##0;[Red]\(#,##0\)"/>
    <numFmt numFmtId="171" formatCode="\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00B0F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/>
    <xf numFmtId="165" fontId="0" fillId="0" borderId="0" xfId="1" applyNumberFormat="1" applyFont="1"/>
    <xf numFmtId="0" fontId="0" fillId="0" borderId="0" xfId="0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0" fillId="0" borderId="0" xfId="1" applyNumberFormat="1" applyFont="1"/>
    <xf numFmtId="166" fontId="3" fillId="0" borderId="0" xfId="1" applyNumberFormat="1" applyFont="1"/>
    <xf numFmtId="0" fontId="0" fillId="2" borderId="0" xfId="0" applyFill="1"/>
    <xf numFmtId="166" fontId="3" fillId="0" borderId="1" xfId="0" applyNumberFormat="1" applyFont="1" applyBorder="1"/>
    <xf numFmtId="166" fontId="3" fillId="3" borderId="1" xfId="1" applyNumberFormat="1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0" fontId="2" fillId="0" borderId="0" xfId="0" applyFont="1"/>
    <xf numFmtId="0" fontId="4" fillId="0" borderId="0" xfId="0" applyFont="1"/>
    <xf numFmtId="15" fontId="0" fillId="0" borderId="0" xfId="0" applyNumberFormat="1"/>
    <xf numFmtId="0" fontId="9" fillId="0" borderId="0" xfId="0" applyFont="1"/>
    <xf numFmtId="166" fontId="0" fillId="2" borderId="0" xfId="1" applyNumberFormat="1" applyFont="1" applyFill="1"/>
    <xf numFmtId="166" fontId="3" fillId="2" borderId="0" xfId="1" applyNumberFormat="1" applyFont="1" applyFill="1"/>
    <xf numFmtId="0" fontId="0" fillId="2" borderId="0" xfId="0" applyFill="1" applyAlignment="1">
      <alignment horizontal="center"/>
    </xf>
    <xf numFmtId="166" fontId="3" fillId="0" borderId="0" xfId="0" applyNumberFormat="1" applyFont="1"/>
    <xf numFmtId="0" fontId="0" fillId="4" borderId="0" xfId="0" applyFill="1"/>
    <xf numFmtId="0" fontId="0" fillId="5" borderId="0" xfId="0" applyFill="1"/>
    <xf numFmtId="14" fontId="0" fillId="0" borderId="0" xfId="0" applyNumberFormat="1"/>
    <xf numFmtId="0" fontId="3" fillId="0" borderId="2" xfId="0" applyFont="1" applyBorder="1"/>
    <xf numFmtId="0" fontId="0" fillId="6" borderId="0" xfId="0" applyFill="1"/>
    <xf numFmtId="0" fontId="0" fillId="0" borderId="3" xfId="0" applyBorder="1"/>
    <xf numFmtId="167" fontId="0" fillId="4" borderId="0" xfId="1" applyNumberFormat="1" applyFont="1" applyFill="1"/>
    <xf numFmtId="14" fontId="0" fillId="0" borderId="0" xfId="0" applyNumberFormat="1" applyAlignment="1">
      <alignment horizontal="center"/>
    </xf>
    <xf numFmtId="165" fontId="3" fillId="0" borderId="0" xfId="1" applyNumberFormat="1" applyFont="1"/>
    <xf numFmtId="0" fontId="12" fillId="0" borderId="0" xfId="0" applyFont="1"/>
    <xf numFmtId="166" fontId="1" fillId="0" borderId="0" xfId="1" applyNumberFormat="1"/>
    <xf numFmtId="0" fontId="0" fillId="0" borderId="0" xfId="0" applyAlignment="1">
      <alignment horizontal="left" vertical="center"/>
    </xf>
    <xf numFmtId="0" fontId="10" fillId="0" borderId="0" xfId="0" applyFont="1" applyAlignment="1">
      <alignment vertical="top"/>
    </xf>
    <xf numFmtId="166" fontId="0" fillId="7" borderId="0" xfId="1" applyNumberFormat="1" applyFont="1" applyFill="1"/>
    <xf numFmtId="0" fontId="3" fillId="0" borderId="1" xfId="0" applyFont="1" applyBorder="1"/>
    <xf numFmtId="0" fontId="3" fillId="0" borderId="0" xfId="0" applyFont="1" applyAlignment="1">
      <alignment wrapText="1"/>
    </xf>
    <xf numFmtId="0" fontId="13" fillId="0" borderId="0" xfId="0" applyFont="1"/>
    <xf numFmtId="0" fontId="3" fillId="2" borderId="1" xfId="0" applyFont="1" applyFill="1" applyBorder="1"/>
    <xf numFmtId="166" fontId="3" fillId="2" borderId="1" xfId="1" applyNumberFormat="1" applyFont="1" applyFill="1" applyBorder="1"/>
    <xf numFmtId="0" fontId="0" fillId="8" borderId="0" xfId="0" applyFill="1"/>
    <xf numFmtId="166" fontId="1" fillId="7" borderId="0" xfId="1" applyNumberFormat="1" applyFill="1"/>
    <xf numFmtId="0" fontId="14" fillId="0" borderId="0" xfId="0" applyFont="1"/>
    <xf numFmtId="166" fontId="14" fillId="0" borderId="0" xfId="1" applyNumberFormat="1" applyFont="1"/>
    <xf numFmtId="0" fontId="3" fillId="2" borderId="1" xfId="0" applyFont="1" applyFill="1" applyBorder="1" applyAlignment="1">
      <alignment wrapText="1"/>
    </xf>
    <xf numFmtId="165" fontId="15" fillId="0" borderId="0" xfId="1" applyNumberFormat="1" applyFont="1" applyAlignment="1">
      <alignment horizontal="center"/>
    </xf>
    <xf numFmtId="0" fontId="15" fillId="0" borderId="0" xfId="0" applyFont="1"/>
    <xf numFmtId="0" fontId="10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/>
    <xf numFmtId="0" fontId="18" fillId="0" borderId="0" xfId="0" applyFont="1"/>
    <xf numFmtId="165" fontId="17" fillId="0" borderId="0" xfId="1" applyNumberFormat="1" applyFont="1" applyAlignment="1">
      <alignment horizontal="center"/>
    </xf>
    <xf numFmtId="165" fontId="18" fillId="0" borderId="0" xfId="1" applyNumberFormat="1" applyFont="1"/>
    <xf numFmtId="0" fontId="18" fillId="0" borderId="0" xfId="0" applyFont="1" applyAlignment="1">
      <alignment horizontal="center"/>
    </xf>
    <xf numFmtId="0" fontId="19" fillId="0" borderId="0" xfId="0" applyFont="1"/>
    <xf numFmtId="0" fontId="17" fillId="2" borderId="1" xfId="0" applyFont="1" applyFill="1" applyBorder="1"/>
    <xf numFmtId="0" fontId="17" fillId="2" borderId="1" xfId="0" applyFont="1" applyFill="1" applyBorder="1" applyAlignment="1">
      <alignment wrapText="1"/>
    </xf>
    <xf numFmtId="166" fontId="17" fillId="2" borderId="1" xfId="1" applyNumberFormat="1" applyFont="1" applyFill="1" applyBorder="1"/>
    <xf numFmtId="0" fontId="17" fillId="0" borderId="0" xfId="0" applyFont="1" applyAlignment="1">
      <alignment horizontal="center"/>
    </xf>
    <xf numFmtId="166" fontId="18" fillId="0" borderId="0" xfId="1" applyNumberFormat="1" applyFont="1"/>
    <xf numFmtId="166" fontId="17" fillId="0" borderId="0" xfId="1" applyNumberFormat="1" applyFont="1"/>
    <xf numFmtId="0" fontId="18" fillId="2" borderId="0" xfId="0" applyFont="1" applyFill="1"/>
    <xf numFmtId="166" fontId="18" fillId="2" borderId="0" xfId="1" applyNumberFormat="1" applyFont="1" applyFill="1"/>
    <xf numFmtId="166" fontId="17" fillId="2" borderId="0" xfId="1" applyNumberFormat="1" applyFont="1" applyFill="1"/>
    <xf numFmtId="0" fontId="18" fillId="2" borderId="0" xfId="0" applyFont="1" applyFill="1" applyAlignment="1">
      <alignment horizontal="center"/>
    </xf>
    <xf numFmtId="0" fontId="20" fillId="0" borderId="0" xfId="0" applyFont="1"/>
    <xf numFmtId="166" fontId="20" fillId="0" borderId="0" xfId="1" applyNumberFormat="1" applyFont="1"/>
    <xf numFmtId="0" fontId="17" fillId="3" borderId="1" xfId="0" applyFont="1" applyFill="1" applyBorder="1"/>
    <xf numFmtId="166" fontId="17" fillId="3" borderId="1" xfId="1" applyNumberFormat="1" applyFont="1" applyFill="1" applyBorder="1"/>
    <xf numFmtId="166" fontId="17" fillId="0" borderId="0" xfId="0" applyNumberFormat="1" applyFont="1"/>
    <xf numFmtId="0" fontId="17" fillId="0" borderId="2" xfId="0" applyFont="1" applyBorder="1"/>
    <xf numFmtId="0" fontId="18" fillId="6" borderId="0" xfId="0" applyFont="1" applyFill="1"/>
    <xf numFmtId="0" fontId="18" fillId="5" borderId="0" xfId="0" applyFont="1" applyFill="1"/>
    <xf numFmtId="0" fontId="18" fillId="4" borderId="0" xfId="0" applyFont="1" applyFill="1"/>
    <xf numFmtId="0" fontId="10" fillId="5" borderId="0" xfId="0" applyFont="1" applyFill="1"/>
    <xf numFmtId="17" fontId="3" fillId="0" borderId="0" xfId="0" applyNumberFormat="1" applyFont="1"/>
    <xf numFmtId="1" fontId="0" fillId="0" borderId="0" xfId="0" applyNumberFormat="1"/>
    <xf numFmtId="168" fontId="0" fillId="0" borderId="0" xfId="0" applyNumberFormat="1"/>
    <xf numFmtId="165" fontId="3" fillId="0" borderId="0" xfId="1" applyNumberFormat="1" applyFont="1" applyAlignment="1">
      <alignment horizontal="left"/>
    </xf>
    <xf numFmtId="0" fontId="22" fillId="0" borderId="0" xfId="0" applyFont="1"/>
    <xf numFmtId="166" fontId="23" fillId="0" borderId="0" xfId="1" applyNumberFormat="1" applyFont="1"/>
    <xf numFmtId="0" fontId="25" fillId="0" borderId="0" xfId="0" applyFont="1"/>
    <xf numFmtId="0" fontId="10" fillId="0" borderId="0" xfId="0" applyFont="1"/>
    <xf numFmtId="0" fontId="0" fillId="7" borderId="0" xfId="0" applyFill="1"/>
    <xf numFmtId="0" fontId="0" fillId="0" borderId="0" xfId="0" applyAlignment="1">
      <alignment horizontal="right"/>
    </xf>
    <xf numFmtId="168" fontId="3" fillId="0" borderId="0" xfId="0" applyNumberFormat="1" applyFont="1"/>
    <xf numFmtId="168" fontId="3" fillId="0" borderId="4" xfId="0" applyNumberFormat="1" applyFont="1" applyBorder="1"/>
    <xf numFmtId="168" fontId="3" fillId="0" borderId="0" xfId="0" applyNumberFormat="1" applyFont="1" applyAlignment="1">
      <alignment horizontal="left"/>
    </xf>
    <xf numFmtId="168" fontId="0" fillId="0" borderId="4" xfId="0" applyNumberFormat="1" applyBorder="1"/>
    <xf numFmtId="168" fontId="0" fillId="7" borderId="0" xfId="0" applyNumberFormat="1" applyFill="1"/>
    <xf numFmtId="0" fontId="3" fillId="7" borderId="0" xfId="0" applyFont="1" applyFill="1"/>
    <xf numFmtId="43" fontId="0" fillId="0" borderId="0" xfId="0" applyNumberFormat="1"/>
    <xf numFmtId="0" fontId="0" fillId="0" borderId="5" xfId="0" applyBorder="1"/>
    <xf numFmtId="165" fontId="17" fillId="0" borderId="0" xfId="1" applyNumberFormat="1" applyFont="1" applyAlignment="1">
      <alignment horizontal="left"/>
    </xf>
    <xf numFmtId="0" fontId="18" fillId="8" borderId="0" xfId="0" applyFont="1" applyFill="1"/>
    <xf numFmtId="0" fontId="16" fillId="5" borderId="0" xfId="0" applyFont="1" applyFill="1" applyAlignment="1">
      <alignment vertical="top"/>
    </xf>
    <xf numFmtId="0" fontId="26" fillId="0" borderId="0" xfId="0" applyFont="1"/>
    <xf numFmtId="0" fontId="3" fillId="0" borderId="0" xfId="0" quotePrefix="1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27" fillId="0" borderId="0" xfId="0" applyFont="1"/>
    <xf numFmtId="168" fontId="0" fillId="5" borderId="0" xfId="0" applyNumberFormat="1" applyFill="1"/>
    <xf numFmtId="168" fontId="28" fillId="0" borderId="0" xfId="0" applyNumberFormat="1" applyFont="1"/>
    <xf numFmtId="0" fontId="29" fillId="0" borderId="0" xfId="0" applyFont="1"/>
    <xf numFmtId="43" fontId="18" fillId="0" borderId="0" xfId="1" applyFont="1"/>
    <xf numFmtId="167" fontId="3" fillId="0" borderId="0" xfId="0" applyNumberFormat="1" applyFont="1"/>
    <xf numFmtId="43" fontId="0" fillId="0" borderId="0" xfId="1" applyFont="1"/>
    <xf numFmtId="43" fontId="3" fillId="0" borderId="0" xfId="1" applyFont="1"/>
    <xf numFmtId="167" fontId="0" fillId="0" borderId="0" xfId="0" applyNumberFormat="1"/>
    <xf numFmtId="0" fontId="31" fillId="0" borderId="0" xfId="0" applyFont="1" applyAlignment="1">
      <alignment horizontal="center"/>
    </xf>
    <xf numFmtId="165" fontId="19" fillId="0" borderId="0" xfId="1" applyNumberFormat="1" applyFont="1"/>
    <xf numFmtId="43" fontId="17" fillId="0" borderId="0" xfId="1" applyFont="1"/>
    <xf numFmtId="166" fontId="18" fillId="0" borderId="0" xfId="0" applyNumberFormat="1" applyFont="1" applyAlignment="1">
      <alignment horizontal="center"/>
    </xf>
    <xf numFmtId="0" fontId="3" fillId="5" borderId="0" xfId="0" applyFont="1" applyFill="1"/>
    <xf numFmtId="168" fontId="3" fillId="5" borderId="0" xfId="0" applyNumberFormat="1" applyFont="1" applyFill="1"/>
    <xf numFmtId="16" fontId="0" fillId="5" borderId="0" xfId="0" applyNumberFormat="1" applyFill="1" applyAlignment="1">
      <alignment horizontal="center"/>
    </xf>
    <xf numFmtId="168" fontId="0" fillId="4" borderId="0" xfId="0" applyNumberFormat="1" applyFill="1"/>
    <xf numFmtId="0" fontId="16" fillId="9" borderId="0" xfId="0" applyFont="1" applyFill="1" applyAlignment="1">
      <alignment vertical="top"/>
    </xf>
    <xf numFmtId="166" fontId="18" fillId="0" borderId="0" xfId="0" applyNumberFormat="1" applyFont="1"/>
    <xf numFmtId="168" fontId="0" fillId="0" borderId="0" xfId="0" applyNumberFormat="1" applyAlignment="1">
      <alignment horizontal="left"/>
    </xf>
    <xf numFmtId="0" fontId="32" fillId="0" borderId="0" xfId="0" applyFont="1"/>
    <xf numFmtId="165" fontId="32" fillId="0" borderId="0" xfId="1" applyNumberFormat="1" applyFont="1"/>
    <xf numFmtId="0" fontId="32" fillId="0" borderId="0" xfId="0" applyFont="1" applyAlignment="1">
      <alignment horizontal="center"/>
    </xf>
    <xf numFmtId="0" fontId="18" fillId="7" borderId="0" xfId="0" applyFont="1" applyFill="1"/>
    <xf numFmtId="0" fontId="16" fillId="0" borderId="0" xfId="0" applyFont="1"/>
    <xf numFmtId="166" fontId="16" fillId="0" borderId="0" xfId="1" applyNumberFormat="1" applyFont="1"/>
    <xf numFmtId="0" fontId="16" fillId="0" borderId="0" xfId="0" applyFont="1" applyAlignment="1">
      <alignment horizontal="center"/>
    </xf>
    <xf numFmtId="165" fontId="16" fillId="0" borderId="0" xfId="1" applyNumberFormat="1" applyFont="1"/>
    <xf numFmtId="166" fontId="33" fillId="0" borderId="0" xfId="1" applyNumberFormat="1" applyFont="1"/>
    <xf numFmtId="166" fontId="18" fillId="10" borderId="0" xfId="1" applyNumberFormat="1" applyFont="1" applyFill="1"/>
    <xf numFmtId="0" fontId="16" fillId="4" borderId="0" xfId="0" applyFont="1" applyFill="1" applyAlignment="1">
      <alignment vertical="top"/>
    </xf>
    <xf numFmtId="0" fontId="0" fillId="0" borderId="0" xfId="0" applyAlignment="1">
      <alignment wrapText="1"/>
    </xf>
    <xf numFmtId="169" fontId="0" fillId="0" borderId="0" xfId="1" applyNumberFormat="1" applyFont="1"/>
    <xf numFmtId="165" fontId="34" fillId="0" borderId="0" xfId="1" applyNumberFormat="1" applyFont="1"/>
    <xf numFmtId="165" fontId="18" fillId="0" borderId="0" xfId="0" applyNumberFormat="1" applyFont="1"/>
    <xf numFmtId="43" fontId="34" fillId="0" borderId="0" xfId="1" applyFont="1"/>
    <xf numFmtId="0" fontId="19" fillId="5" borderId="0" xfId="0" applyFont="1" applyFill="1"/>
    <xf numFmtId="166" fontId="19" fillId="5" borderId="0" xfId="1" applyNumberFormat="1" applyFont="1" applyFill="1"/>
    <xf numFmtId="0" fontId="0" fillId="0" borderId="1" xfId="0" applyBorder="1"/>
    <xf numFmtId="170" fontId="0" fillId="0" borderId="0" xfId="0" applyNumberFormat="1"/>
    <xf numFmtId="0" fontId="0" fillId="0" borderId="8" xfId="0" applyBorder="1"/>
    <xf numFmtId="1" fontId="0" fillId="0" borderId="8" xfId="0" applyNumberFormat="1" applyBorder="1"/>
    <xf numFmtId="170" fontId="0" fillId="0" borderId="8" xfId="0" applyNumberFormat="1" applyBorder="1"/>
    <xf numFmtId="9" fontId="0" fillId="0" borderId="0" xfId="4" applyFont="1" applyAlignment="1">
      <alignment horizontal="center"/>
    </xf>
    <xf numFmtId="0" fontId="0" fillId="0" borderId="0" xfId="0" applyAlignment="1">
      <alignment horizontal="left"/>
    </xf>
    <xf numFmtId="171" fontId="0" fillId="0" borderId="0" xfId="0" quotePrefix="1" applyNumberFormat="1" applyAlignment="1">
      <alignment horizontal="center"/>
    </xf>
    <xf numFmtId="165" fontId="24" fillId="0" borderId="0" xfId="1" applyNumberFormat="1" applyFont="1"/>
    <xf numFmtId="0" fontId="24" fillId="0" borderId="0" xfId="0" applyFont="1"/>
    <xf numFmtId="165" fontId="24" fillId="0" borderId="0" xfId="0" applyNumberFormat="1" applyFont="1"/>
    <xf numFmtId="165" fontId="24" fillId="0" borderId="1" xfId="1" applyNumberFormat="1" applyFont="1" applyBorder="1"/>
    <xf numFmtId="165" fontId="24" fillId="0" borderId="1" xfId="0" applyNumberFormat="1" applyFont="1" applyBorder="1"/>
    <xf numFmtId="43" fontId="3" fillId="0" borderId="0" xfId="0" applyNumberFormat="1" applyFont="1"/>
    <xf numFmtId="9" fontId="0" fillId="0" borderId="9" xfId="4" applyFont="1" applyBorder="1" applyAlignment="1">
      <alignment horizontal="center"/>
    </xf>
    <xf numFmtId="165" fontId="0" fillId="0" borderId="0" xfId="0" applyNumberFormat="1"/>
    <xf numFmtId="0" fontId="0" fillId="0" borderId="9" xfId="0" applyBorder="1" applyAlignment="1">
      <alignment horizontal="center"/>
    </xf>
    <xf numFmtId="165" fontId="1" fillId="0" borderId="0" xfId="1" applyNumberFormat="1"/>
    <xf numFmtId="165" fontId="3" fillId="0" borderId="8" xfId="0" applyNumberFormat="1" applyFont="1" applyBorder="1"/>
    <xf numFmtId="168" fontId="27" fillId="0" borderId="0" xfId="0" applyNumberFormat="1" applyFont="1"/>
    <xf numFmtId="9" fontId="32" fillId="0" borderId="0" xfId="4" applyFont="1" applyAlignment="1">
      <alignment horizontal="center"/>
    </xf>
    <xf numFmtId="168" fontId="10" fillId="0" borderId="0" xfId="0" applyNumberFormat="1" applyFont="1"/>
    <xf numFmtId="165" fontId="3" fillId="0" borderId="1" xfId="1" applyNumberFormat="1" applyFont="1" applyBorder="1"/>
    <xf numFmtId="165" fontId="3" fillId="0" borderId="1" xfId="0" applyNumberFormat="1" applyFont="1" applyBorder="1"/>
    <xf numFmtId="3" fontId="0" fillId="0" borderId="0" xfId="0" applyNumberFormat="1"/>
    <xf numFmtId="165" fontId="3" fillId="0" borderId="0" xfId="0" applyNumberFormat="1" applyFont="1"/>
    <xf numFmtId="3" fontId="0" fillId="0" borderId="5" xfId="0" applyNumberFormat="1" applyBorder="1"/>
    <xf numFmtId="3" fontId="0" fillId="0" borderId="4" xfId="0" applyNumberFormat="1" applyBorder="1"/>
    <xf numFmtId="0" fontId="3" fillId="12" borderId="0" xfId="0" applyFont="1" applyFill="1"/>
    <xf numFmtId="0" fontId="0" fillId="12" borderId="0" xfId="0" applyFill="1"/>
    <xf numFmtId="3" fontId="0" fillId="12" borderId="0" xfId="0" applyNumberFormat="1" applyFill="1"/>
    <xf numFmtId="0" fontId="3" fillId="13" borderId="0" xfId="0" applyFont="1" applyFill="1"/>
    <xf numFmtId="0" fontId="0" fillId="13" borderId="0" xfId="0" applyFill="1"/>
    <xf numFmtId="3" fontId="0" fillId="13" borderId="0" xfId="0" applyNumberFormat="1" applyFill="1"/>
    <xf numFmtId="9" fontId="3" fillId="13" borderId="0" xfId="0" applyNumberFormat="1" applyFont="1" applyFill="1"/>
    <xf numFmtId="0" fontId="27" fillId="14" borderId="0" xfId="0" applyFont="1" applyFill="1"/>
    <xf numFmtId="0" fontId="10" fillId="14" borderId="0" xfId="0" applyFont="1" applyFill="1"/>
    <xf numFmtId="3" fontId="10" fillId="14" borderId="0" xfId="0" applyNumberFormat="1" applyFont="1" applyFill="1"/>
    <xf numFmtId="9" fontId="27" fillId="14" borderId="0" xfId="0" applyNumberFormat="1" applyFont="1" applyFill="1"/>
    <xf numFmtId="0" fontId="3" fillId="10" borderId="0" xfId="0" applyFont="1" applyFill="1"/>
    <xf numFmtId="0" fontId="0" fillId="10" borderId="0" xfId="0" applyFill="1"/>
    <xf numFmtId="3" fontId="0" fillId="10" borderId="0" xfId="0" applyNumberFormat="1" applyFill="1"/>
    <xf numFmtId="0" fontId="27" fillId="12" borderId="0" xfId="0" applyFont="1" applyFill="1"/>
    <xf numFmtId="0" fontId="10" fillId="12" borderId="0" xfId="0" applyFont="1" applyFill="1"/>
    <xf numFmtId="3" fontId="10" fillId="12" borderId="0" xfId="0" applyNumberFormat="1" applyFont="1" applyFill="1"/>
    <xf numFmtId="165" fontId="24" fillId="11" borderId="0" xfId="1" applyNumberFormat="1" applyFont="1" applyFill="1"/>
    <xf numFmtId="0" fontId="0" fillId="0" borderId="6" xfId="0" applyBorder="1"/>
    <xf numFmtId="0" fontId="0" fillId="0" borderId="7" xfId="0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10" borderId="12" xfId="0" applyNumberFormat="1" applyFill="1" applyBorder="1"/>
    <xf numFmtId="3" fontId="0" fillId="10" borderId="13" xfId="0" applyNumberFormat="1" applyFill="1" applyBorder="1"/>
    <xf numFmtId="3" fontId="0" fillId="0" borderId="14" xfId="0" applyNumberFormat="1" applyBorder="1"/>
    <xf numFmtId="9" fontId="3" fillId="0" borderId="0" xfId="0" applyNumberFormat="1" applyFont="1"/>
    <xf numFmtId="170" fontId="0" fillId="10" borderId="13" xfId="0" applyNumberFormat="1" applyFill="1" applyBorder="1"/>
    <xf numFmtId="9" fontId="27" fillId="0" borderId="0" xfId="0" applyNumberFormat="1" applyFont="1"/>
    <xf numFmtId="170" fontId="0" fillId="10" borderId="15" xfId="0" applyNumberFormat="1" applyFill="1" applyBorder="1"/>
    <xf numFmtId="170" fontId="10" fillId="10" borderId="15" xfId="0" applyNumberFormat="1" applyFont="1" applyFill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3" fillId="15" borderId="0" xfId="0" applyFont="1" applyFill="1"/>
    <xf numFmtId="0" fontId="0" fillId="15" borderId="0" xfId="0" applyFill="1"/>
    <xf numFmtId="3" fontId="0" fillId="15" borderId="0" xfId="0" applyNumberFormat="1" applyFill="1"/>
    <xf numFmtId="0" fontId="10" fillId="13" borderId="0" xfId="0" applyFont="1" applyFill="1"/>
    <xf numFmtId="0" fontId="10" fillId="0" borderId="0" xfId="0" applyFont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168" fontId="3" fillId="0" borderId="17" xfId="0" applyNumberFormat="1" applyFont="1" applyBorder="1"/>
    <xf numFmtId="168" fontId="3" fillId="0" borderId="19" xfId="0" applyNumberFormat="1" applyFont="1" applyBorder="1"/>
    <xf numFmtId="168" fontId="3" fillId="0" borderId="17" xfId="1" applyNumberFormat="1" applyFont="1" applyBorder="1"/>
    <xf numFmtId="168" fontId="3" fillId="0" borderId="20" xfId="1" applyNumberFormat="1" applyFont="1" applyBorder="1"/>
    <xf numFmtId="168" fontId="3" fillId="0" borderId="21" xfId="1" applyNumberFormat="1" applyFont="1" applyBorder="1"/>
    <xf numFmtId="15" fontId="3" fillId="0" borderId="17" xfId="0" applyNumberFormat="1" applyFont="1" applyBorder="1" applyAlignment="1">
      <alignment horizontal="center"/>
    </xf>
    <xf numFmtId="0" fontId="10" fillId="0" borderId="6" xfId="0" applyFont="1" applyBorder="1"/>
    <xf numFmtId="0" fontId="27" fillId="0" borderId="6" xfId="0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10" xfId="0" applyNumberFormat="1" applyFont="1" applyBorder="1"/>
    <xf numFmtId="3" fontId="10" fillId="10" borderId="12" xfId="0" applyNumberFormat="1" applyFont="1" applyFill="1" applyBorder="1"/>
    <xf numFmtId="3" fontId="10" fillId="0" borderId="0" xfId="0" applyNumberFormat="1" applyFont="1"/>
    <xf numFmtId="165" fontId="3" fillId="0" borderId="17" xfId="1" applyNumberFormat="1" applyFont="1" applyBorder="1"/>
    <xf numFmtId="0" fontId="0" fillId="0" borderId="0" xfId="0" applyFill="1"/>
    <xf numFmtId="168" fontId="3" fillId="0" borderId="17" xfId="1" applyNumberFormat="1" applyFont="1" applyFill="1" applyBorder="1"/>
    <xf numFmtId="0" fontId="3" fillId="13" borderId="17" xfId="0" applyFont="1" applyFill="1" applyBorder="1" applyAlignment="1">
      <alignment horizontal="center"/>
    </xf>
    <xf numFmtId="0" fontId="27" fillId="10" borderId="0" xfId="0" applyFont="1" applyFill="1"/>
    <xf numFmtId="168" fontId="3" fillId="10" borderId="17" xfId="1" applyNumberFormat="1" applyFont="1" applyFill="1" applyBorder="1"/>
    <xf numFmtId="165" fontId="3" fillId="0" borderId="17" xfId="1" applyNumberFormat="1" applyFont="1" applyFill="1" applyBorder="1"/>
    <xf numFmtId="0" fontId="27" fillId="7" borderId="1" xfId="0" applyFont="1" applyFill="1" applyBorder="1"/>
    <xf numFmtId="0" fontId="10" fillId="0" borderId="0" xfId="0" applyFont="1" applyFill="1"/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15" fontId="3" fillId="5" borderId="17" xfId="0" applyNumberFormat="1" applyFont="1" applyFill="1" applyBorder="1" applyAlignment="1">
      <alignment horizontal="center"/>
    </xf>
    <xf numFmtId="168" fontId="3" fillId="5" borderId="17" xfId="0" applyNumberFormat="1" applyFont="1" applyFill="1" applyBorder="1"/>
    <xf numFmtId="165" fontId="3" fillId="5" borderId="17" xfId="1" applyNumberFormat="1" applyFont="1" applyFill="1" applyBorder="1"/>
    <xf numFmtId="168" fontId="3" fillId="5" borderId="18" xfId="0" applyNumberFormat="1" applyFont="1" applyFill="1" applyBorder="1"/>
    <xf numFmtId="168" fontId="3" fillId="5" borderId="19" xfId="0" applyNumberFormat="1" applyFont="1" applyFill="1" applyBorder="1"/>
    <xf numFmtId="168" fontId="3" fillId="5" borderId="17" xfId="1" applyNumberFormat="1" applyFont="1" applyFill="1" applyBorder="1"/>
    <xf numFmtId="0" fontId="3" fillId="5" borderId="17" xfId="0" applyFont="1" applyFill="1" applyBorder="1"/>
    <xf numFmtId="168" fontId="3" fillId="5" borderId="21" xfId="1" applyNumberFormat="1" applyFont="1" applyFill="1" applyBorder="1"/>
    <xf numFmtId="0" fontId="27" fillId="0" borderId="0" xfId="0" applyFont="1" applyFill="1"/>
    <xf numFmtId="0" fontId="3" fillId="0" borderId="16" xfId="0" quotePrefix="1" applyFont="1" applyBorder="1" applyAlignment="1">
      <alignment horizontal="center"/>
    </xf>
    <xf numFmtId="168" fontId="3" fillId="0" borderId="22" xfId="1" applyNumberFormat="1" applyFont="1" applyBorder="1"/>
    <xf numFmtId="168" fontId="3" fillId="0" borderId="22" xfId="1" applyNumberFormat="1" applyFont="1" applyFill="1" applyBorder="1"/>
    <xf numFmtId="0" fontId="27" fillId="0" borderId="0" xfId="0" applyFont="1" applyFill="1" applyBorder="1"/>
    <xf numFmtId="165" fontId="27" fillId="0" borderId="17" xfId="1" applyNumberFormat="1" applyFont="1" applyFill="1" applyBorder="1"/>
    <xf numFmtId="0" fontId="10" fillId="17" borderId="0" xfId="0" applyFont="1" applyFill="1"/>
    <xf numFmtId="168" fontId="3" fillId="17" borderId="17" xfId="0" applyNumberFormat="1" applyFont="1" applyFill="1" applyBorder="1"/>
    <xf numFmtId="165" fontId="3" fillId="17" borderId="17" xfId="1" applyNumberFormat="1" applyFont="1" applyFill="1" applyBorder="1"/>
    <xf numFmtId="0" fontId="27" fillId="17" borderId="0" xfId="0" applyFont="1" applyFill="1"/>
    <xf numFmtId="165" fontId="3" fillId="17" borderId="20" xfId="1" applyNumberFormat="1" applyFont="1" applyFill="1" applyBorder="1"/>
    <xf numFmtId="0" fontId="16" fillId="0" borderId="0" xfId="0" applyFont="1" applyFill="1" applyAlignment="1">
      <alignment vertical="top"/>
    </xf>
    <xf numFmtId="0" fontId="10" fillId="0" borderId="0" xfId="0" quotePrefix="1" applyFont="1" applyFill="1"/>
    <xf numFmtId="0" fontId="36" fillId="0" borderId="0" xfId="0" applyFont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0" fontId="10" fillId="16" borderId="0" xfId="0" applyFont="1" applyFill="1"/>
    <xf numFmtId="168" fontId="3" fillId="16" borderId="18" xfId="0" applyNumberFormat="1" applyFont="1" applyFill="1" applyBorder="1"/>
    <xf numFmtId="168" fontId="10" fillId="0" borderId="0" xfId="1" applyNumberFormat="1" applyFont="1" applyFill="1"/>
    <xf numFmtId="15" fontId="3" fillId="0" borderId="0" xfId="0" applyNumberFormat="1" applyFont="1" applyFill="1" applyBorder="1" applyAlignment="1">
      <alignment horizontal="center"/>
    </xf>
    <xf numFmtId="168" fontId="0" fillId="0" borderId="0" xfId="0" applyNumberFormat="1" applyBorder="1"/>
    <xf numFmtId="165" fontId="0" fillId="0" borderId="0" xfId="0" applyNumberFormat="1" applyBorder="1"/>
    <xf numFmtId="168" fontId="3" fillId="18" borderId="8" xfId="0" applyNumberFormat="1" applyFont="1" applyFill="1" applyBorder="1"/>
    <xf numFmtId="168" fontId="1" fillId="0" borderId="0" xfId="1" applyNumberFormat="1" applyFont="1" applyFill="1" applyBorder="1"/>
    <xf numFmtId="0" fontId="27" fillId="18" borderId="8" xfId="0" applyFont="1" applyFill="1" applyBorder="1"/>
    <xf numFmtId="168" fontId="3" fillId="0" borderId="0" xfId="1" applyNumberFormat="1" applyFont="1" applyFill="1" applyBorder="1"/>
    <xf numFmtId="0" fontId="3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66"/>
      <color rgb="FFFF9999"/>
      <color rgb="FF00FFFF"/>
      <color rgb="FF99FFCC"/>
      <color rgb="FFFF0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0359553717994E-2"/>
          <c:y val="2.6586903165893065E-2"/>
          <c:w val="0.71419306700374829"/>
          <c:h val="0.90907739677791854"/>
        </c:manualLayout>
      </c:layout>
      <c:areaChart>
        <c:grouping val="stacked"/>
        <c:varyColors val="0"/>
        <c:ser>
          <c:idx val="5"/>
          <c:order val="0"/>
          <c:tx>
            <c:v>Contracted</c:v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val>
            <c:numRef>
              <c:f>'NEW MAIN'!$E$8:$P$8</c:f>
              <c:numCache>
                <c:formatCode>_-* #,##0_-;\-* #,##0_-;_-* "-"??_-;_-@_-</c:formatCode>
                <c:ptCount val="12"/>
                <c:pt idx="0">
                  <c:v>17</c:v>
                </c:pt>
                <c:pt idx="1">
                  <c:v>94</c:v>
                </c:pt>
                <c:pt idx="2">
                  <c:v>105</c:v>
                </c:pt>
                <c:pt idx="3">
                  <c:v>99</c:v>
                </c:pt>
                <c:pt idx="4">
                  <c:v>17</c:v>
                </c:pt>
                <c:pt idx="5">
                  <c:v>17</c:v>
                </c:pt>
                <c:pt idx="6">
                  <c:v>47</c:v>
                </c:pt>
                <c:pt idx="7">
                  <c:v>47</c:v>
                </c:pt>
                <c:pt idx="8">
                  <c:v>6</c:v>
                </c:pt>
                <c:pt idx="9">
                  <c:v>73</c:v>
                </c:pt>
                <c:pt idx="10">
                  <c:v>93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9-4225-BE85-BBFD433677FF}"/>
            </c:ext>
          </c:extLst>
        </c:ser>
        <c:ser>
          <c:idx val="1"/>
          <c:order val="1"/>
          <c:tx>
            <c:v>Base pipeline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'NEW MAIN'!$E$5:$R$5</c:f>
              <c:strCache>
                <c:ptCount val="1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3">
                  <c:v>TOTAL</c:v>
                </c:pt>
              </c:strCache>
            </c:strRef>
          </c:cat>
          <c:val>
            <c:numRef>
              <c:f>'NEW MAIN'!$E$7:$P$7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35</c:v>
                </c:pt>
                <c:pt idx="2">
                  <c:v>8</c:v>
                </c:pt>
                <c:pt idx="3">
                  <c:v>142</c:v>
                </c:pt>
                <c:pt idx="4">
                  <c:v>151</c:v>
                </c:pt>
                <c:pt idx="5">
                  <c:v>193</c:v>
                </c:pt>
                <c:pt idx="6">
                  <c:v>335</c:v>
                </c:pt>
                <c:pt idx="7">
                  <c:v>102</c:v>
                </c:pt>
                <c:pt idx="8">
                  <c:v>191</c:v>
                </c:pt>
                <c:pt idx="9">
                  <c:v>53</c:v>
                </c:pt>
                <c:pt idx="10">
                  <c:v>28</c:v>
                </c:pt>
                <c:pt idx="11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9-4225-BE85-BBFD43367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268952"/>
        <c:axId val="318269736"/>
      </c:areaChart>
      <c:lineChart>
        <c:grouping val="standard"/>
        <c:varyColors val="0"/>
        <c:ser>
          <c:idx val="0"/>
          <c:order val="2"/>
          <c:tx>
            <c:v>Scenario 1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'NEW MAIN'!$E$17:$P$17</c:f>
              <c:numCache>
                <c:formatCode>_-* #,##0_-;\-* #,##0_-;_-* "-"??_-;_-@_-</c:formatCode>
                <c:ptCount val="12"/>
                <c:pt idx="0">
                  <c:v>17</c:v>
                </c:pt>
                <c:pt idx="1">
                  <c:v>94</c:v>
                </c:pt>
                <c:pt idx="2">
                  <c:v>131.25</c:v>
                </c:pt>
                <c:pt idx="3">
                  <c:v>105</c:v>
                </c:pt>
                <c:pt idx="4">
                  <c:v>123.5</c:v>
                </c:pt>
                <c:pt idx="5">
                  <c:v>130.25</c:v>
                </c:pt>
                <c:pt idx="6">
                  <c:v>191.75</c:v>
                </c:pt>
                <c:pt idx="7">
                  <c:v>298.25</c:v>
                </c:pt>
                <c:pt idx="8">
                  <c:v>82.5</c:v>
                </c:pt>
                <c:pt idx="9">
                  <c:v>216.25</c:v>
                </c:pt>
                <c:pt idx="10">
                  <c:v>132.75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9-4225-BE85-BBFD433677FF}"/>
            </c:ext>
          </c:extLst>
        </c:ser>
        <c:ser>
          <c:idx val="4"/>
          <c:order val="5"/>
          <c:tx>
            <c:v>Scenario 4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'NEW MAIN'!$E$41:$P$41</c:f>
              <c:numCache>
                <c:formatCode>_-* #,##0_-;\-* #,##0_-;_-* "-"??_-;_-@_-</c:formatCode>
                <c:ptCount val="12"/>
                <c:pt idx="0">
                  <c:v>17</c:v>
                </c:pt>
                <c:pt idx="1">
                  <c:v>129</c:v>
                </c:pt>
                <c:pt idx="2">
                  <c:v>113</c:v>
                </c:pt>
                <c:pt idx="3">
                  <c:v>241</c:v>
                </c:pt>
                <c:pt idx="4">
                  <c:v>168</c:v>
                </c:pt>
                <c:pt idx="5">
                  <c:v>210</c:v>
                </c:pt>
                <c:pt idx="6">
                  <c:v>382</c:v>
                </c:pt>
                <c:pt idx="7">
                  <c:v>149</c:v>
                </c:pt>
                <c:pt idx="8">
                  <c:v>197</c:v>
                </c:pt>
                <c:pt idx="9">
                  <c:v>126</c:v>
                </c:pt>
                <c:pt idx="10">
                  <c:v>121</c:v>
                </c:pt>
                <c:pt idx="11">
                  <c:v>219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2D9-4225-BE85-BBFD43367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268952"/>
        <c:axId val="318269736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v>Scenario 2</c:v>
                </c:tx>
                <c:spPr>
                  <a:ln w="28575" cap="rnd">
                    <a:solidFill>
                      <a:srgbClr val="FFC000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'NEW MAIN'!$E$25:$P$25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17</c:v>
                      </c:pt>
                      <c:pt idx="1">
                        <c:v>94</c:v>
                      </c:pt>
                      <c:pt idx="2">
                        <c:v>136.5</c:v>
                      </c:pt>
                      <c:pt idx="3">
                        <c:v>106.2</c:v>
                      </c:pt>
                      <c:pt idx="4">
                        <c:v>144.80000000000001</c:v>
                      </c:pt>
                      <c:pt idx="5">
                        <c:v>152.9</c:v>
                      </c:pt>
                      <c:pt idx="6">
                        <c:v>220.70000000000002</c:v>
                      </c:pt>
                      <c:pt idx="7">
                        <c:v>348.5</c:v>
                      </c:pt>
                      <c:pt idx="8">
                        <c:v>97.8</c:v>
                      </c:pt>
                      <c:pt idx="9">
                        <c:v>244.9</c:v>
                      </c:pt>
                      <c:pt idx="10">
                        <c:v>140.69999999999999</c:v>
                      </c:pt>
                      <c:pt idx="11">
                        <c:v>39.200000000000003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2D9-4225-BE85-BBFD433677FF}"/>
                  </c:ext>
                </c:extLst>
              </c15:ser>
            </c15:filteredLineSeries>
            <c15:filteredLineSeries>
              <c15:ser>
                <c:idx val="3"/>
                <c:order val="4"/>
                <c:tx>
                  <c:v>Scenario 3</c:v>
                </c:tx>
                <c:spPr>
                  <a:ln w="28575" cap="rnd">
                    <a:solidFill>
                      <a:srgbClr val="FFFF00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'NEW MAIN'!$E$33:$P$33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17</c:v>
                      </c:pt>
                      <c:pt idx="1">
                        <c:v>94</c:v>
                      </c:pt>
                      <c:pt idx="2">
                        <c:v>105</c:v>
                      </c:pt>
                      <c:pt idx="3">
                        <c:v>99</c:v>
                      </c:pt>
                      <c:pt idx="4">
                        <c:v>45</c:v>
                      </c:pt>
                      <c:pt idx="5">
                        <c:v>23.4</c:v>
                      </c:pt>
                      <c:pt idx="6">
                        <c:v>160.60000000000002</c:v>
                      </c:pt>
                      <c:pt idx="7">
                        <c:v>167.8</c:v>
                      </c:pt>
                      <c:pt idx="8">
                        <c:v>160.4</c:v>
                      </c:pt>
                      <c:pt idx="9">
                        <c:v>341</c:v>
                      </c:pt>
                      <c:pt idx="10">
                        <c:v>174.60000000000002</c:v>
                      </c:pt>
                      <c:pt idx="11">
                        <c:v>166.8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2D9-4225-BE85-BBFD433677FF}"/>
                  </c:ext>
                </c:extLst>
              </c15:ser>
            </c15:filteredLineSeries>
          </c:ext>
        </c:extLst>
      </c:lineChart>
      <c:catAx>
        <c:axId val="3182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269736"/>
        <c:crosses val="autoZero"/>
        <c:auto val="1"/>
        <c:lblAlgn val="ctr"/>
        <c:lblOffset val="100"/>
        <c:noMultiLvlLbl val="0"/>
      </c:catAx>
      <c:valAx>
        <c:axId val="31826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2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Graphs!$A$4</c:f>
              <c:strCache>
                <c:ptCount val="1"/>
                <c:pt idx="0">
                  <c:v>cash at end budget</c:v>
                </c:pt>
              </c:strCache>
            </c:strRef>
          </c:tx>
          <c:cat>
            <c:numRef>
              <c:f>Graphs!$B$3:$M$3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Graphs!$B$4:$M$4</c:f>
              <c:numCache>
                <c:formatCode>_-* #,##0_-;\-* #,##0_-;_-* "-"??_-;_-@_-</c:formatCode>
                <c:ptCount val="12"/>
                <c:pt idx="0">
                  <c:v>215.60699999999997</c:v>
                </c:pt>
                <c:pt idx="1">
                  <c:v>188.21199999999999</c:v>
                </c:pt>
                <c:pt idx="2">
                  <c:v>235.899</c:v>
                </c:pt>
                <c:pt idx="3">
                  <c:v>277.38900000000001</c:v>
                </c:pt>
                <c:pt idx="4">
                  <c:v>213.76432650000004</c:v>
                </c:pt>
                <c:pt idx="5">
                  <c:v>409.55765299999996</c:v>
                </c:pt>
                <c:pt idx="6">
                  <c:v>406.64097949999996</c:v>
                </c:pt>
                <c:pt idx="7">
                  <c:v>462.79430600000001</c:v>
                </c:pt>
                <c:pt idx="8">
                  <c:v>443.67763249999996</c:v>
                </c:pt>
                <c:pt idx="9">
                  <c:v>374.06095899999991</c:v>
                </c:pt>
                <c:pt idx="10">
                  <c:v>275.10195899999997</c:v>
                </c:pt>
                <c:pt idx="11">
                  <c:v>322.40195899999998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B-4E1F-B26E-7F07CBEF343F}"/>
            </c:ext>
          </c:extLst>
        </c:ser>
        <c:ser>
          <c:idx val="1"/>
          <c:order val="1"/>
          <c:tx>
            <c:strRef>
              <c:f>Graphs!$A$5</c:f>
              <c:strCache>
                <c:ptCount val="1"/>
                <c:pt idx="0">
                  <c:v>cash at end forecast</c:v>
                </c:pt>
              </c:strCache>
            </c:strRef>
          </c:tx>
          <c:cat>
            <c:numRef>
              <c:f>Graphs!$B$3:$M$3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Graphs!$B$5:$M$5</c:f>
              <c:numCache>
                <c:formatCode>_-* #,##0_-;\-* #,##0_-;_-* "-"??_-;_-@_-</c:formatCode>
                <c:ptCount val="12"/>
                <c:pt idx="0">
                  <c:v>121.11720000000001</c:v>
                </c:pt>
                <c:pt idx="1">
                  <c:v>37.414580000000015</c:v>
                </c:pt>
                <c:pt idx="2">
                  <c:v>74.160339999999991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B-4E1F-B26E-7F07CBEF343F}"/>
            </c:ext>
          </c:extLst>
        </c:ser>
        <c:ser>
          <c:idx val="2"/>
          <c:order val="2"/>
          <c:tx>
            <c:strRef>
              <c:f>Graphs!$A$6</c:f>
              <c:strCache>
                <c:ptCount val="1"/>
                <c:pt idx="0">
                  <c:v>cash at end actual</c:v>
                </c:pt>
              </c:strCache>
            </c:strRef>
          </c:tx>
          <c:cat>
            <c:numRef>
              <c:f>Graphs!$B$3:$M$3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Graphs!$B$6:$M$6</c:f>
              <c:numCache>
                <c:formatCode>_-* #,##0_-;\-* #,##0_-;_-* "-"??_-;_-@_-</c:formatCode>
                <c:ptCount val="12"/>
                <c:pt idx="0">
                  <c:v>121.11742000000004</c:v>
                </c:pt>
                <c:pt idx="1">
                  <c:v>37.414459999999998</c:v>
                </c:pt>
                <c:pt idx="2">
                  <c:v>0</c:v>
                </c:pt>
                <c:pt idx="3">
                  <c:v>0</c:v>
                </c:pt>
                <c:pt idx="4">
                  <c:v>328.01346999999998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B-4E1F-B26E-7F07CBEF3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60576"/>
        <c:axId val="435555088"/>
      </c:lineChart>
      <c:dateAx>
        <c:axId val="435560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35555088"/>
        <c:crosses val="autoZero"/>
        <c:auto val="1"/>
        <c:lblOffset val="100"/>
        <c:baseTimeUnit val="months"/>
      </c:dateAx>
      <c:valAx>
        <c:axId val="43555508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4355605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Graphs!$A$24</c:f>
              <c:strCache>
                <c:ptCount val="1"/>
                <c:pt idx="0">
                  <c:v>Cashflow</c:v>
                </c:pt>
              </c:strCache>
            </c:strRef>
          </c:tx>
          <c:invertIfNegative val="0"/>
          <c:cat>
            <c:strRef>
              <c:f>Graphs!$B$23:$E$23</c:f>
              <c:strCache>
                <c:ptCount val="4"/>
                <c:pt idx="0">
                  <c:v>Jan-June 2017 Actual</c:v>
                </c:pt>
                <c:pt idx="1">
                  <c:v>July-Dec 2017 Actual</c:v>
                </c:pt>
                <c:pt idx="2">
                  <c:v>Jan-June 2018 Actual</c:v>
                </c:pt>
                <c:pt idx="3">
                  <c:v>July-Dec 2018 Forecast</c:v>
                </c:pt>
              </c:strCache>
            </c:strRef>
          </c:cat>
          <c:val>
            <c:numRef>
              <c:f>Graphs!$B$24:$E$24</c:f>
              <c:numCache>
                <c:formatCode>#,##0\ 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1-4824-B141-3B79366AA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561360"/>
        <c:axId val="435557832"/>
      </c:barChart>
      <c:catAx>
        <c:axId val="43556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435557832"/>
        <c:crosses val="autoZero"/>
        <c:auto val="1"/>
        <c:lblAlgn val="ctr"/>
        <c:lblOffset val="100"/>
        <c:noMultiLvlLbl val="0"/>
      </c:catAx>
      <c:valAx>
        <c:axId val="435557832"/>
        <c:scaling>
          <c:orientation val="minMax"/>
        </c:scaling>
        <c:delete val="0"/>
        <c:axPos val="l"/>
        <c:majorGridlines/>
        <c:numFmt formatCode="#,##0\ ;\(#,##0\)" sourceLinked="1"/>
        <c:majorTickMark val="out"/>
        <c:minorTickMark val="none"/>
        <c:tickLblPos val="nextTo"/>
        <c:crossAx val="435561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Cashflow by</a:t>
            </a:r>
            <a:r>
              <a:rPr lang="en-US" baseline="0"/>
              <a:t> quarter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Graphs!$H$24</c:f>
              <c:strCache>
                <c:ptCount val="1"/>
                <c:pt idx="0">
                  <c:v>Cashflow</c:v>
                </c:pt>
              </c:strCache>
            </c:strRef>
          </c:tx>
          <c:invertIfNegative val="0"/>
          <c:cat>
            <c:strRef>
              <c:f>Graphs!$I$23:$P$23</c:f>
              <c:strCache>
                <c:ptCount val="8"/>
                <c:pt idx="0">
                  <c:v>Q1 /17 Actual</c:v>
                </c:pt>
                <c:pt idx="1">
                  <c:v>Q2 /17 Actual</c:v>
                </c:pt>
                <c:pt idx="2">
                  <c:v>Q3 /17 Actual</c:v>
                </c:pt>
                <c:pt idx="3">
                  <c:v>Q4 /17 Actual</c:v>
                </c:pt>
                <c:pt idx="4">
                  <c:v>Q1 /18 Actual</c:v>
                </c:pt>
                <c:pt idx="5">
                  <c:v>Q2 /18 Actual</c:v>
                </c:pt>
                <c:pt idx="6">
                  <c:v>Q3 /18 Forecast</c:v>
                </c:pt>
                <c:pt idx="7">
                  <c:v>Q4 /18 Forecast</c:v>
                </c:pt>
              </c:strCache>
            </c:strRef>
          </c:cat>
          <c:val>
            <c:numRef>
              <c:f>Graphs!$I$24:$P$24</c:f>
              <c:numCache>
                <c:formatCode>#,##0\ ;\(#,##0\)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4-4892-BCB5-9536FD672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558224"/>
        <c:axId val="435560968"/>
      </c:barChart>
      <c:catAx>
        <c:axId val="4355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435560968"/>
        <c:crosses val="autoZero"/>
        <c:auto val="1"/>
        <c:lblAlgn val="ctr"/>
        <c:lblOffset val="100"/>
        <c:noMultiLvlLbl val="0"/>
      </c:catAx>
      <c:valAx>
        <c:axId val="435560968"/>
        <c:scaling>
          <c:orientation val="minMax"/>
        </c:scaling>
        <c:delete val="0"/>
        <c:axPos val="l"/>
        <c:majorGridlines/>
        <c:numFmt formatCode="#,##0\ ;\(#,##0\)" sourceLinked="1"/>
        <c:majorTickMark val="out"/>
        <c:minorTickMark val="none"/>
        <c:tickLblPos val="nextTo"/>
        <c:crossAx val="43555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0359553717994E-2"/>
          <c:y val="2.6586903165893065E-2"/>
          <c:w val="0.71419306700374829"/>
          <c:h val="0.90907739677791854"/>
        </c:manualLayout>
      </c:layout>
      <c:areaChart>
        <c:grouping val="stacked"/>
        <c:varyColors val="0"/>
        <c:ser>
          <c:idx val="1"/>
          <c:order val="0"/>
          <c:tx>
            <c:v>Base pipeline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MAIN!$E$5:$P$5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MAIN!$E$8:$P$8</c:f>
              <c:numCache>
                <c:formatCode>_-* #,##0_-;\-* #,##0_-;_-* "-"??_-;_-@_-</c:formatCode>
                <c:ptCount val="12"/>
                <c:pt idx="0">
                  <c:v>4.1666666666666661</c:v>
                </c:pt>
                <c:pt idx="1">
                  <c:v>76.307666666666677</c:v>
                </c:pt>
                <c:pt idx="2">
                  <c:v>4.1666666666666661</c:v>
                </c:pt>
                <c:pt idx="3">
                  <c:v>191.9666666666667</c:v>
                </c:pt>
                <c:pt idx="4">
                  <c:v>104.91666666666667</c:v>
                </c:pt>
                <c:pt idx="5">
                  <c:v>140.91666666666666</c:v>
                </c:pt>
                <c:pt idx="6">
                  <c:v>146.66666666666666</c:v>
                </c:pt>
                <c:pt idx="7">
                  <c:v>138.16666666666666</c:v>
                </c:pt>
                <c:pt idx="8">
                  <c:v>184.91666666666666</c:v>
                </c:pt>
                <c:pt idx="9">
                  <c:v>47.166666666666664</c:v>
                </c:pt>
                <c:pt idx="10">
                  <c:v>21.666666666666671</c:v>
                </c:pt>
                <c:pt idx="11">
                  <c:v>197.91666666666669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BB-4009-A00C-AAAD6076DD82}"/>
            </c:ext>
          </c:extLst>
        </c:ser>
        <c:ser>
          <c:idx val="5"/>
          <c:order val="5"/>
          <c:tx>
            <c:v>Contracted</c:v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MAIN!$E$7:$P$7</c:f>
              <c:numCache>
                <c:formatCode>_-* #,##0_-;\-* #,##0_-;_-* "-"??_-;_-@_-</c:formatCode>
                <c:ptCount val="12"/>
                <c:pt idx="0">
                  <c:v>6.1442499999999995</c:v>
                </c:pt>
                <c:pt idx="1">
                  <c:v>46.14425</c:v>
                </c:pt>
                <c:pt idx="2">
                  <c:v>210.38925</c:v>
                </c:pt>
                <c:pt idx="3">
                  <c:v>112.99424999999999</c:v>
                </c:pt>
                <c:pt idx="4">
                  <c:v>6.1442499999999995</c:v>
                </c:pt>
                <c:pt idx="5">
                  <c:v>6.1442499999999995</c:v>
                </c:pt>
                <c:pt idx="6">
                  <c:v>61.72325</c:v>
                </c:pt>
                <c:pt idx="7">
                  <c:v>54.951250000000002</c:v>
                </c:pt>
                <c:pt idx="8">
                  <c:v>6.1442499999999995</c:v>
                </c:pt>
                <c:pt idx="9">
                  <c:v>85.494249999999994</c:v>
                </c:pt>
                <c:pt idx="10">
                  <c:v>92.64425</c:v>
                </c:pt>
                <c:pt idx="11">
                  <c:v>12.39705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8-4BCC-8211-586813B6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559792"/>
        <c:axId val="435554304"/>
      </c:areaChart>
      <c:lineChart>
        <c:grouping val="standard"/>
        <c:varyColors val="0"/>
        <c:ser>
          <c:idx val="0"/>
          <c:order val="1"/>
          <c:tx>
            <c:v>Scenario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4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  <c:pt idx="13">
                <c:v>TOTAL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MAIN!$E$15:$P$15</c:f>
              <c:numCache>
                <c:formatCode>_-* #,##0_-;\-* #,##0_-;_-* "-"??_-;_-@_-</c:formatCode>
                <c:ptCount val="12"/>
                <c:pt idx="0">
                  <c:v>2.083333333333333</c:v>
                </c:pt>
                <c:pt idx="1">
                  <c:v>38.153833333333338</c:v>
                </c:pt>
                <c:pt idx="2">
                  <c:v>2.083333333333333</c:v>
                </c:pt>
                <c:pt idx="3">
                  <c:v>95.983333333333348</c:v>
                </c:pt>
                <c:pt idx="4">
                  <c:v>52.458333333333336</c:v>
                </c:pt>
                <c:pt idx="5">
                  <c:v>70.458333333333329</c:v>
                </c:pt>
                <c:pt idx="6">
                  <c:v>73.333333333333329</c:v>
                </c:pt>
                <c:pt idx="7">
                  <c:v>69.083333333333329</c:v>
                </c:pt>
                <c:pt idx="8">
                  <c:v>92.458333333333329</c:v>
                </c:pt>
                <c:pt idx="9">
                  <c:v>23.583333333333332</c:v>
                </c:pt>
                <c:pt idx="10">
                  <c:v>10.833333333333336</c:v>
                </c:pt>
                <c:pt idx="11">
                  <c:v>98.958333333333343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B-4009-A00C-AAAD6076D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59792"/>
        <c:axId val="43555430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Scenario 2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MAIN!$E$21:$P$21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3.7499999999999996</c:v>
                      </c:pt>
                      <c:pt idx="4">
                        <c:v>68.676900000000018</c:v>
                      </c:pt>
                      <c:pt idx="5">
                        <c:v>3.7499999999999996</c:v>
                      </c:pt>
                      <c:pt idx="6">
                        <c:v>172.77000000000004</c:v>
                      </c:pt>
                      <c:pt idx="7">
                        <c:v>94.425000000000011</c:v>
                      </c:pt>
                      <c:pt idx="8">
                        <c:v>126.82499999999999</c:v>
                      </c:pt>
                      <c:pt idx="9">
                        <c:v>132</c:v>
                      </c:pt>
                      <c:pt idx="10">
                        <c:v>124.35</c:v>
                      </c:pt>
                      <c:pt idx="11">
                        <c:v>166.42499999999998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DBB-4009-A00C-AAAD6076DD8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Scenario 3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MAIN!$E$27:$P$27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0</c:v>
                      </c:pt>
                      <c:pt idx="1">
                        <c:v>3.1249999999999996</c:v>
                      </c:pt>
                      <c:pt idx="2">
                        <c:v>57.230750000000008</c:v>
                      </c:pt>
                      <c:pt idx="3">
                        <c:v>3.1249999999999996</c:v>
                      </c:pt>
                      <c:pt idx="4">
                        <c:v>143.97500000000002</c:v>
                      </c:pt>
                      <c:pt idx="5">
                        <c:v>78.6875</c:v>
                      </c:pt>
                      <c:pt idx="6">
                        <c:v>105.6875</c:v>
                      </c:pt>
                      <c:pt idx="7">
                        <c:v>110</c:v>
                      </c:pt>
                      <c:pt idx="8">
                        <c:v>103.625</c:v>
                      </c:pt>
                      <c:pt idx="9">
                        <c:v>138.6875</c:v>
                      </c:pt>
                      <c:pt idx="10">
                        <c:v>35.375</c:v>
                      </c:pt>
                      <c:pt idx="11">
                        <c:v>16.250000000000004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DBB-4009-A00C-AAAD6076DD8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Scenario 4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MAIN!$E$33:$P$33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2.4999999999999996</c:v>
                      </c:pt>
                      <c:pt idx="4">
                        <c:v>45.784600000000005</c:v>
                      </c:pt>
                      <c:pt idx="5">
                        <c:v>2.4999999999999996</c:v>
                      </c:pt>
                      <c:pt idx="6">
                        <c:v>115.18</c:v>
                      </c:pt>
                      <c:pt idx="7">
                        <c:v>62.95</c:v>
                      </c:pt>
                      <c:pt idx="8">
                        <c:v>84.55</c:v>
                      </c:pt>
                      <c:pt idx="9">
                        <c:v>87.999999999999986</c:v>
                      </c:pt>
                      <c:pt idx="10">
                        <c:v>82.899999999999991</c:v>
                      </c:pt>
                      <c:pt idx="11">
                        <c:v>110.94999999999999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DBB-4009-A00C-AAAD6076DD82}"/>
                  </c:ext>
                </c:extLst>
              </c15:ser>
            </c15:filteredLineSeries>
          </c:ext>
        </c:extLst>
      </c:lineChart>
      <c:catAx>
        <c:axId val="43555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54304"/>
        <c:crosses val="autoZero"/>
        <c:auto val="1"/>
        <c:lblAlgn val="ctr"/>
        <c:lblOffset val="100"/>
        <c:noMultiLvlLbl val="0"/>
      </c:catAx>
      <c:valAx>
        <c:axId val="43555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5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0359553717994E-2"/>
          <c:y val="2.6586903165893065E-2"/>
          <c:w val="0.71419306700374829"/>
          <c:h val="0.90907739677791854"/>
        </c:manualLayout>
      </c:layout>
      <c:barChart>
        <c:barDir val="col"/>
        <c:grouping val="clustered"/>
        <c:varyColors val="0"/>
        <c:ser>
          <c:idx val="1"/>
          <c:order val="0"/>
          <c:tx>
            <c:v>Base pipeline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MAIN!$R$5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MAIN!$R$8</c:f>
              <c:numCache>
                <c:formatCode>_-* #,##0_-;\-* #,##0_-;_-* "-"??_-;_-@_-</c:formatCode>
                <c:ptCount val="1"/>
                <c:pt idx="0">
                  <c:v>1258.941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A-4BD2-B1E3-00EB6BE0FAFD}"/>
            </c:ext>
          </c:extLst>
        </c:ser>
        <c:ser>
          <c:idx val="0"/>
          <c:order val="1"/>
          <c:tx>
            <c:v>Scenario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MAIN!$R$15</c:f>
              <c:numCache>
                <c:formatCode>_-* #,##0_-;\-* #,##0_-;_-* "-"??_-;_-@_-</c:formatCode>
                <c:ptCount val="1"/>
                <c:pt idx="0">
                  <c:v>629.47050000000002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A-4BD2-B1E3-00EB6BE0FAFD}"/>
            </c:ext>
          </c:extLst>
        </c:ser>
        <c:ser>
          <c:idx val="2"/>
          <c:order val="2"/>
          <c:tx>
            <c:v>Scenario 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MAIN!$R$21</c:f>
              <c:numCache>
                <c:formatCode>_-* #,##0_-;\-* #,##0_-;_-* "-"??_-;_-@_-</c:formatCode>
                <c:ptCount val="1"/>
                <c:pt idx="0">
                  <c:v>892.97190000000012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7A-4BD2-B1E3-00EB6BE0FAFD}"/>
            </c:ext>
          </c:extLst>
        </c:ser>
        <c:ser>
          <c:idx val="3"/>
          <c:order val="3"/>
          <c:tx>
            <c:v>Scenario 3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MAIN!$R$27</c:f>
              <c:numCache>
                <c:formatCode>_-* #,##0_-;\-* #,##0_-;_-* "-"??_-;_-@_-</c:formatCode>
                <c:ptCount val="1"/>
                <c:pt idx="0">
                  <c:v>795.76825000000008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7A-4BD2-B1E3-00EB6BE0FAFD}"/>
            </c:ext>
          </c:extLst>
        </c:ser>
        <c:ser>
          <c:idx val="4"/>
          <c:order val="4"/>
          <c:tx>
            <c:v>Scenario 4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MAIN!$R$33</c:f>
              <c:numCache>
                <c:formatCode>_-* #,##0_-;\-* #,##0_-;_-* "-"??_-;_-@_-</c:formatCode>
                <c:ptCount val="1"/>
                <c:pt idx="0">
                  <c:v>595.31459999999993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A-4BD2-B1E3-00EB6BE0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555480"/>
        <c:axId val="435555872"/>
      </c:barChart>
      <c:catAx>
        <c:axId val="435555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55872"/>
        <c:crosses val="autoZero"/>
        <c:auto val="1"/>
        <c:lblAlgn val="ctr"/>
        <c:lblOffset val="100"/>
        <c:noMultiLvlLbl val="0"/>
      </c:catAx>
      <c:valAx>
        <c:axId val="43555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5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3360507</xdr:colOff>
      <xdr:row>0</xdr:row>
      <xdr:rowOff>160533</xdr:rowOff>
    </xdr:from>
    <xdr:to>
      <xdr:col>3</xdr:col>
      <xdr:colOff>759859</xdr:colOff>
      <xdr:row>2</xdr:row>
      <xdr:rowOff>278257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3AB79FCD-1B53-4242-A1F4-4240C2B6DBBE}"/>
            </a:ext>
          </a:extLst>
        </xdr:cNvPr>
        <xdr:cNvSpPr/>
      </xdr:nvSpPr>
      <xdr:spPr>
        <a:xfrm>
          <a:off x="3360507" y="160533"/>
          <a:ext cx="2836094" cy="503005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You can  use a different colour when the figures are actual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311943</xdr:colOff>
      <xdr:row>8</xdr:row>
      <xdr:rowOff>71437</xdr:rowOff>
    </xdr:from>
    <xdr:to>
      <xdr:col>34</xdr:col>
      <xdr:colOff>226218</xdr:colOff>
      <xdr:row>38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004E43-9637-4704-8EAB-F9117F25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7</xdr:row>
      <xdr:rowOff>4762</xdr:rowOff>
    </xdr:from>
    <xdr:to>
      <xdr:col>8</xdr:col>
      <xdr:colOff>361949</xdr:colOff>
      <xdr:row>19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29</xdr:row>
      <xdr:rowOff>23812</xdr:rowOff>
    </xdr:from>
    <xdr:to>
      <xdr:col>6</xdr:col>
      <xdr:colOff>114300</xdr:colOff>
      <xdr:row>43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542925</xdr:colOff>
      <xdr:row>27</xdr:row>
      <xdr:rowOff>23812</xdr:rowOff>
    </xdr:from>
    <xdr:to>
      <xdr:col>15</xdr:col>
      <xdr:colOff>238125</xdr:colOff>
      <xdr:row>41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3</xdr:row>
      <xdr:rowOff>152400</xdr:rowOff>
    </xdr:from>
    <xdr:to>
      <xdr:col>28</xdr:col>
      <xdr:colOff>180975</xdr:colOff>
      <xdr:row>22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4AEFB5-76D1-4033-A053-53481F15C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228600</xdr:colOff>
      <xdr:row>24</xdr:row>
      <xdr:rowOff>76200</xdr:rowOff>
    </xdr:from>
    <xdr:to>
      <xdr:col>28</xdr:col>
      <xdr:colOff>180975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98F9A3-D730-4567-9FC4-CC989C042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ortedfoundation225.sharepoint.com/sites/MANAGEMENT/Documents/03%20-%20Finance/05.10%20-%20Bank,%20Cash,%20and%20cashflow%20forecast/Weekly%20Cashflow/January%202018%20Monthly%20Cash%20Forecast%20-%200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TO PIPELINE"/>
      <sheetName val="Schedules"/>
      <sheetName val="Receipts"/>
      <sheetName val="Mar 18"/>
      <sheetName val="Feb 18"/>
      <sheetName val="Jan Zoom"/>
      <sheetName val="Jan 18"/>
      <sheetName val="Dec Zoom"/>
      <sheetName val="Dec"/>
      <sheetName val="Nov"/>
      <sheetName val="Oct"/>
      <sheetName val="May"/>
      <sheetName val="Mar"/>
      <sheetName val="Feb"/>
      <sheetName val="Jan"/>
      <sheetName val="Cash mgmt"/>
      <sheetName val="Fin Cttee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H35">
            <v>238846.08000000002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H80"/>
  <sheetViews>
    <sheetView zoomScale="80" zoomScaleNormal="80" workbookViewId="0">
      <pane xSplit="4" ySplit="8" topLeftCell="G9" activePane="bottomRight" state="frozen"/>
      <selection pane="topRight"/>
      <selection pane="bottomLeft"/>
      <selection pane="bottomRight"/>
    </sheetView>
  </sheetViews>
  <sheetFormatPr defaultRowHeight="15" outlineLevelRow="1" x14ac:dyDescent="0.25"/>
  <cols>
    <col min="1" max="1" width="9.140625" style="1"/>
    <col min="2" max="2" width="15.28515625" style="1" customWidth="1"/>
    <col min="3" max="3" width="9.140625" style="1"/>
    <col min="4" max="4" width="9.140625" customWidth="1"/>
    <col min="5" max="5" width="8.7109375" hidden="1" customWidth="1"/>
    <col min="6" max="6" width="12.5703125" hidden="1" customWidth="1"/>
    <col min="7" max="7" width="8.7109375" customWidth="1"/>
    <col min="8" max="8" width="11.42578125" customWidth="1"/>
    <col min="9" max="14" width="8.7109375" customWidth="1"/>
    <col min="15" max="15" width="8.7109375" style="83" customWidth="1"/>
    <col min="16" max="25" width="8.7109375" customWidth="1"/>
    <col min="26" max="26" width="10.28515625" customWidth="1"/>
    <col min="27" max="30" width="12.140625" bestFit="1" customWidth="1"/>
    <col min="31" max="31" width="10.42578125" customWidth="1"/>
  </cols>
  <sheetData>
    <row r="1" spans="1:32" x14ac:dyDescent="0.25">
      <c r="A1" s="1" t="s">
        <v>0</v>
      </c>
    </row>
    <row r="2" spans="1:32" x14ac:dyDescent="0.25">
      <c r="A2" s="1" t="s">
        <v>1</v>
      </c>
    </row>
    <row r="3" spans="1:32" x14ac:dyDescent="0.25">
      <c r="A3" s="101"/>
      <c r="B3" s="82"/>
      <c r="C3" s="82"/>
      <c r="G3" s="272" t="s">
        <v>2</v>
      </c>
      <c r="H3" s="272"/>
      <c r="I3" s="272" t="s">
        <v>3</v>
      </c>
      <c r="J3" s="272"/>
      <c r="K3" s="272" t="s">
        <v>3</v>
      </c>
      <c r="L3" s="272"/>
      <c r="M3" s="272" t="s">
        <v>3</v>
      </c>
      <c r="N3" s="272"/>
      <c r="O3" s="272" t="s">
        <v>3</v>
      </c>
      <c r="P3" s="272"/>
      <c r="Q3" s="272" t="s">
        <v>3</v>
      </c>
      <c r="R3" s="272"/>
      <c r="S3" s="272" t="s">
        <v>3</v>
      </c>
      <c r="T3" s="272"/>
      <c r="U3" s="272" t="s">
        <v>3</v>
      </c>
      <c r="V3" s="272"/>
      <c r="W3" s="272" t="s">
        <v>3</v>
      </c>
      <c r="X3" s="272"/>
      <c r="Y3" s="272" t="s">
        <v>3</v>
      </c>
      <c r="Z3" s="272"/>
    </row>
    <row r="4" spans="1:32" x14ac:dyDescent="0.25">
      <c r="E4" s="270" t="s">
        <v>4</v>
      </c>
      <c r="F4" s="271"/>
      <c r="G4" s="270" t="s">
        <v>5</v>
      </c>
      <c r="H4" s="271"/>
      <c r="I4" s="270" t="s">
        <v>6</v>
      </c>
      <c r="J4" s="271"/>
      <c r="K4" s="270" t="s">
        <v>7</v>
      </c>
      <c r="L4" s="271"/>
      <c r="M4" s="270" t="s">
        <v>8</v>
      </c>
      <c r="N4" s="271"/>
      <c r="O4" s="270" t="s">
        <v>9</v>
      </c>
      <c r="P4" s="271"/>
      <c r="Q4" s="270" t="s">
        <v>10</v>
      </c>
      <c r="R4" s="271"/>
      <c r="S4" s="270" t="s">
        <v>11</v>
      </c>
      <c r="T4" s="271"/>
      <c r="U4" s="270" t="s">
        <v>12</v>
      </c>
      <c r="V4" s="271"/>
      <c r="W4" s="270" t="s">
        <v>13</v>
      </c>
      <c r="X4" s="271"/>
      <c r="Y4" s="270" t="s">
        <v>14</v>
      </c>
      <c r="Z4" s="271" t="s">
        <v>15</v>
      </c>
      <c r="AA4" s="1" t="s">
        <v>15</v>
      </c>
      <c r="AB4" s="1"/>
      <c r="AE4" s="1" t="s">
        <v>16</v>
      </c>
    </row>
    <row r="5" spans="1:32" x14ac:dyDescent="0.25">
      <c r="E5" s="185"/>
      <c r="F5" s="186"/>
      <c r="G5" s="185"/>
      <c r="H5" s="186"/>
      <c r="I5" s="185"/>
      <c r="J5" s="186"/>
      <c r="K5" s="185"/>
      <c r="L5" s="186"/>
      <c r="M5" s="185"/>
      <c r="N5" s="186"/>
      <c r="O5" s="216"/>
      <c r="P5" s="186"/>
      <c r="Q5" s="185"/>
      <c r="R5" s="186"/>
      <c r="S5" s="185"/>
      <c r="T5" s="186"/>
      <c r="U5" s="185"/>
      <c r="V5" s="186"/>
      <c r="W5" s="185"/>
      <c r="X5" s="186"/>
      <c r="Y5" s="185"/>
      <c r="Z5" s="186"/>
    </row>
    <row r="6" spans="1:32" x14ac:dyDescent="0.25">
      <c r="E6" s="199" t="s">
        <v>17</v>
      </c>
      <c r="F6" s="200" t="s">
        <v>18</v>
      </c>
      <c r="G6" s="199" t="s">
        <v>17</v>
      </c>
      <c r="H6" s="200" t="s">
        <v>18</v>
      </c>
      <c r="I6" s="199" t="s">
        <v>17</v>
      </c>
      <c r="J6" s="200" t="s">
        <v>18</v>
      </c>
      <c r="K6" s="199" t="s">
        <v>17</v>
      </c>
      <c r="L6" s="200" t="s">
        <v>18</v>
      </c>
      <c r="M6" s="199" t="s">
        <v>17</v>
      </c>
      <c r="N6" s="200" t="s">
        <v>18</v>
      </c>
      <c r="O6" s="217" t="s">
        <v>17</v>
      </c>
      <c r="P6" s="200" t="s">
        <v>18</v>
      </c>
      <c r="Q6" s="199" t="s">
        <v>17</v>
      </c>
      <c r="R6" s="200" t="s">
        <v>18</v>
      </c>
      <c r="S6" s="199" t="s">
        <v>17</v>
      </c>
      <c r="T6" s="200" t="s">
        <v>18</v>
      </c>
      <c r="U6" s="199" t="s">
        <v>17</v>
      </c>
      <c r="V6" s="200" t="s">
        <v>18</v>
      </c>
      <c r="W6" s="199" t="s">
        <v>17</v>
      </c>
      <c r="X6" s="200" t="s">
        <v>18</v>
      </c>
      <c r="Y6" s="199" t="s">
        <v>17</v>
      </c>
      <c r="Z6" s="200" t="s">
        <v>18</v>
      </c>
      <c r="AA6" s="1"/>
      <c r="AB6" s="1"/>
      <c r="AC6" s="1"/>
      <c r="AD6" s="1"/>
    </row>
    <row r="7" spans="1:32" x14ac:dyDescent="0.25">
      <c r="E7" s="201" t="s">
        <v>19</v>
      </c>
      <c r="F7" s="202" t="s">
        <v>19</v>
      </c>
      <c r="G7" s="201" t="s">
        <v>19</v>
      </c>
      <c r="H7" s="202" t="s">
        <v>19</v>
      </c>
      <c r="I7" s="201" t="s">
        <v>19</v>
      </c>
      <c r="J7" s="202" t="s">
        <v>19</v>
      </c>
      <c r="K7" s="201" t="s">
        <v>19</v>
      </c>
      <c r="L7" s="202" t="s">
        <v>19</v>
      </c>
      <c r="M7" s="201" t="s">
        <v>19</v>
      </c>
      <c r="N7" s="202" t="s">
        <v>19</v>
      </c>
      <c r="O7" s="218" t="s">
        <v>19</v>
      </c>
      <c r="P7" s="202" t="s">
        <v>19</v>
      </c>
      <c r="Q7" s="201" t="s">
        <v>19</v>
      </c>
      <c r="R7" s="202" t="s">
        <v>19</v>
      </c>
      <c r="S7" s="201" t="s">
        <v>19</v>
      </c>
      <c r="T7" s="202" t="s">
        <v>19</v>
      </c>
      <c r="U7" s="201" t="s">
        <v>19</v>
      </c>
      <c r="V7" s="202" t="s">
        <v>19</v>
      </c>
      <c r="W7" s="201" t="s">
        <v>19</v>
      </c>
      <c r="X7" s="202" t="s">
        <v>19</v>
      </c>
      <c r="Y7" s="201" t="s">
        <v>19</v>
      </c>
      <c r="Z7" s="202" t="s">
        <v>19</v>
      </c>
      <c r="AA7" s="163"/>
      <c r="AB7" s="163"/>
      <c r="AC7" s="163"/>
      <c r="AD7" s="163"/>
    </row>
    <row r="8" spans="1:32" x14ac:dyDescent="0.25">
      <c r="A8" s="1" t="s">
        <v>20</v>
      </c>
      <c r="E8" s="187">
        <v>154612</v>
      </c>
      <c r="F8" s="188">
        <v>-61286</v>
      </c>
      <c r="G8" s="187">
        <v>126081</v>
      </c>
      <c r="H8" s="188">
        <v>-147736</v>
      </c>
      <c r="I8" s="187" t="e">
        <f t="shared" ref="I8:Z8" si="0">+G45</f>
        <v>#REF!</v>
      </c>
      <c r="J8" s="188" t="e">
        <f t="shared" si="0"/>
        <v>#REF!</v>
      </c>
      <c r="K8" s="187" t="e">
        <f t="shared" si="0"/>
        <v>#REF!</v>
      </c>
      <c r="L8" s="188" t="e">
        <f t="shared" si="0"/>
        <v>#REF!</v>
      </c>
      <c r="M8" s="187" t="e">
        <f t="shared" si="0"/>
        <v>#REF!</v>
      </c>
      <c r="N8" s="188" t="e">
        <f t="shared" si="0"/>
        <v>#REF!</v>
      </c>
      <c r="O8" s="219" t="e">
        <f t="shared" si="0"/>
        <v>#REF!</v>
      </c>
      <c r="P8" s="188" t="e">
        <f t="shared" si="0"/>
        <v>#REF!</v>
      </c>
      <c r="Q8" s="187" t="e">
        <f t="shared" si="0"/>
        <v>#REF!</v>
      </c>
      <c r="R8" s="188" t="e">
        <f t="shared" si="0"/>
        <v>#REF!</v>
      </c>
      <c r="S8" s="187" t="e">
        <f t="shared" si="0"/>
        <v>#REF!</v>
      </c>
      <c r="T8" s="188" t="e">
        <f t="shared" si="0"/>
        <v>#REF!</v>
      </c>
      <c r="U8" s="187" t="e">
        <f t="shared" si="0"/>
        <v>#REF!</v>
      </c>
      <c r="V8" s="188" t="e">
        <f t="shared" si="0"/>
        <v>#REF!</v>
      </c>
      <c r="W8" s="187" t="e">
        <f t="shared" si="0"/>
        <v>#REF!</v>
      </c>
      <c r="X8" s="188" t="e">
        <f t="shared" si="0"/>
        <v>#REF!</v>
      </c>
      <c r="Y8" s="187" t="e">
        <f t="shared" si="0"/>
        <v>#REF!</v>
      </c>
      <c r="Z8" s="188" t="e">
        <f t="shared" si="0"/>
        <v>#REF!</v>
      </c>
      <c r="AA8" s="163">
        <f>+G8+H8</f>
        <v>-21655</v>
      </c>
      <c r="AB8" s="163"/>
      <c r="AC8" s="163"/>
      <c r="AD8" s="163"/>
    </row>
    <row r="9" spans="1:32" x14ac:dyDescent="0.25">
      <c r="E9" s="187"/>
      <c r="F9" s="188"/>
      <c r="G9" s="187"/>
      <c r="H9" s="188"/>
      <c r="I9" s="187"/>
      <c r="J9" s="188"/>
      <c r="K9" s="187"/>
      <c r="L9" s="188"/>
      <c r="M9" s="187"/>
      <c r="N9" s="188"/>
      <c r="O9" s="219"/>
      <c r="P9" s="188"/>
      <c r="Q9" s="187"/>
      <c r="R9" s="188"/>
      <c r="S9" s="187"/>
      <c r="T9" s="188"/>
      <c r="U9" s="187"/>
      <c r="V9" s="188"/>
      <c r="W9" s="187"/>
      <c r="X9" s="188"/>
      <c r="Y9" s="187"/>
      <c r="Z9" s="188"/>
      <c r="AA9" s="163"/>
      <c r="AB9" s="163"/>
      <c r="AC9" s="163"/>
      <c r="AD9" s="163"/>
      <c r="AE9" s="140" t="e">
        <f>+F46</f>
        <v>#REF!</v>
      </c>
    </row>
    <row r="10" spans="1:32" x14ac:dyDescent="0.25">
      <c r="A10" s="1" t="s">
        <v>21</v>
      </c>
      <c r="E10" s="187"/>
      <c r="F10" s="188"/>
      <c r="G10" s="187"/>
      <c r="H10" s="188"/>
      <c r="I10" s="187"/>
      <c r="J10" s="188"/>
      <c r="K10" s="187"/>
      <c r="L10" s="188"/>
      <c r="M10" s="187"/>
      <c r="N10" s="188"/>
      <c r="O10" s="219"/>
      <c r="P10" s="188"/>
      <c r="Q10" s="187"/>
      <c r="R10" s="188"/>
      <c r="S10" s="187"/>
      <c r="T10" s="188"/>
      <c r="U10" s="187"/>
      <c r="V10" s="188"/>
      <c r="W10" s="187"/>
      <c r="X10" s="188"/>
      <c r="Y10" s="187"/>
      <c r="Z10" s="188"/>
      <c r="AA10" s="163"/>
      <c r="AB10" s="163"/>
      <c r="AC10" s="163"/>
      <c r="AD10" s="163"/>
      <c r="AF10" t="s">
        <v>22</v>
      </c>
    </row>
    <row r="11" spans="1:32" x14ac:dyDescent="0.25">
      <c r="A11" s="1" t="s">
        <v>23</v>
      </c>
      <c r="E11" s="185"/>
      <c r="F11" s="188" t="e">
        <f>+'Cash flow proforma 20-21'!#REF!+'Cash flow proforma 20-21'!#REF!+'Cash flow proforma 20-21'!#REF!</f>
        <v>#REF!</v>
      </c>
      <c r="G11" s="187"/>
      <c r="H11" s="188" t="e">
        <f>+'Cash flow proforma 20-21'!#REF!</f>
        <v>#REF!</v>
      </c>
      <c r="I11" s="187" t="e">
        <f>+'Cash flow proforma 20-21'!#REF!+'Cash flow proforma 20-21'!#REF!+'Cash flow proforma 20-21'!#REF!+'Cash flow proforma 20-21'!#REF!+'Cash flow proforma 20-21'!#REF!+'Cash flow proforma 20-21'!#REF!+'Cash flow proforma 20-21'!#REF!+'Cash flow proforma 20-21'!#REF!+'Cash flow proforma 20-21'!#REF!+'Cash flow proforma 20-21'!#REF!+'Cash flow proforma 20-21'!#REF!</f>
        <v>#REF!</v>
      </c>
      <c r="J11" s="188" t="e">
        <f>+'Cash flow proforma 20-21'!#REF!+'Cash flow proforma 20-21'!#REF!</f>
        <v>#REF!</v>
      </c>
      <c r="K11" s="187" t="e">
        <f>+'Cash flow proforma 20-21'!#REF!+'Cash flow proforma 20-21'!#REF!+'Cash flow proforma 20-21'!#REF!</f>
        <v>#REF!</v>
      </c>
      <c r="L11" s="188" t="e">
        <f>+'Cash flow proforma 20-21'!#REF!</f>
        <v>#REF!</v>
      </c>
      <c r="M11" s="187" t="e">
        <f>+'Cash flow proforma 20-21'!#REF!+'Cash flow proforma 20-21'!#REF!+'Cash flow proforma 20-21'!#REF!+'Cash flow proforma 20-21'!#REF!+'Cash flow proforma 20-21'!#REF!+'Cash flow proforma 20-21'!#REF!+'Cash flow proforma 20-21'!#REF!+'Cash flow proforma 20-21'!#REF!+'Cash flow proforma 20-21'!#REF!+'Cash flow proforma 20-21'!#REF!+'Cash flow proforma 20-21'!#REF!+'Cash flow proforma 20-21'!#REF!</f>
        <v>#REF!</v>
      </c>
      <c r="N11" s="188" t="e">
        <f>+'Cash flow proforma 20-21'!#REF!+'Cash flow proforma 20-21'!#REF!+'Cash flow proforma 20-21'!#REF!+'Cash flow proforma 20-21'!#REF!+'Cash flow proforma 20-21'!#REF!</f>
        <v>#REF!</v>
      </c>
      <c r="O11" s="219" t="e">
        <f>+'Cash flow proforma 20-21'!#REF!+'Cash flow proforma 20-21'!#REF!+'Cash flow proforma 20-21'!#REF!+'Cash flow proforma 20-21'!#REF!</f>
        <v>#REF!</v>
      </c>
      <c r="P11" s="188" t="e">
        <f>+'Cash flow proforma 20-21'!#REF!+'Cash flow proforma 20-21'!#REF!+'Cash flow proforma 20-21'!#REF!+'Cash flow proforma 20-21'!#REF!</f>
        <v>#REF!</v>
      </c>
      <c r="Q11" s="187" t="e">
        <f>+'Cash flow proforma 20-21'!#REF!+'Cash flow proforma 20-21'!#REF!+'Cash flow proforma 20-21'!#REF!+'Cash flow proforma 20-21'!#REF!</f>
        <v>#REF!</v>
      </c>
      <c r="R11" s="188" t="e">
        <f>+'Cash flow proforma 20-21'!#REF!+'Cash flow proforma 20-21'!#REF!+'Cash flow proforma 20-21'!#REF!+'Cash flow proforma 20-21'!#REF!+'Cash flow proforma 20-21'!#REF!</f>
        <v>#REF!</v>
      </c>
      <c r="S11" s="187" t="e">
        <f>+'Cash flow proforma 20-21'!#REF!+'Cash flow proforma 20-21'!#REF!+'Cash flow proforma 20-21'!#REF!+'Cash flow proforma 20-21'!#REF!+'Cash flow proforma 20-21'!#REF!+'Cash flow proforma 20-21'!#REF!+'Cash flow proforma 20-21'!#REF!+'Cash flow proforma 20-21'!#REF!+'Cash flow proforma 20-21'!#REF!+'Cash flow proforma 20-21'!#REF!</f>
        <v>#REF!</v>
      </c>
      <c r="T11" s="188" t="e">
        <f>+'Cash flow proforma 20-21'!#REF!+'Cash flow proforma 20-21'!#REF!+'Cash flow proforma 20-21'!#REF!+'Cash flow proforma 20-21'!#REF!+'Cash flow proforma 20-21'!#REF!+'Cash flow proforma 20-21'!#REF!</f>
        <v>#REF!</v>
      </c>
      <c r="U11" s="187" t="e">
        <f>+'Cash flow proforma 20-21'!#REF!+'Cash flow proforma 20-21'!#REF!+'Cash flow proforma 20-21'!#REF!</f>
        <v>#REF!</v>
      </c>
      <c r="V11" s="188" t="e">
        <f>+'Cash flow proforma 20-21'!#REF!+'Cash flow proforma 20-21'!#REF!+'Cash flow proforma 20-21'!#REF!</f>
        <v>#REF!</v>
      </c>
      <c r="W11" s="187" t="e">
        <f>+'Cash flow proforma 20-21'!#REF!</f>
        <v>#REF!</v>
      </c>
      <c r="X11" s="188" t="e">
        <f>+'Cash flow proforma 20-21'!#REF!+'Cash flow proforma 20-21'!#REF!</f>
        <v>#REF!</v>
      </c>
      <c r="Y11" s="187" t="e">
        <f>+'Cash flow proforma 20-21'!#REF!+'Cash flow proforma 20-21'!#REF!</f>
        <v>#REF!</v>
      </c>
      <c r="Z11" s="188" t="e">
        <f>+'Cash flow proforma 20-21'!#REF!+'Cash flow proforma 20-21'!#REF!+'Cash flow proforma 20-21'!#REF!+'Cash flow proforma 20-21'!#REF!+'Cash flow proforma 20-21'!#REF!+'Cash flow proforma 20-21'!#REF!+'Cash flow proforma 20-21'!#REF!</f>
        <v>#REF!</v>
      </c>
      <c r="AA11" s="163" t="e">
        <f>SUM(G11:Z11)</f>
        <v>#REF!</v>
      </c>
      <c r="AB11" s="163" t="str">
        <f>+'Summary and scenarios'!Q9</f>
        <v>From 22 Feb pipeline updated 25 Feb</v>
      </c>
      <c r="AC11" s="163"/>
      <c r="AD11" s="163"/>
      <c r="AE11" s="163" t="e">
        <f>SUM(G11:Z11)</f>
        <v>#REF!</v>
      </c>
      <c r="AF11" s="163">
        <f>+'Summary and scenarios'!T9</f>
        <v>1408000</v>
      </c>
    </row>
    <row r="12" spans="1:32" x14ac:dyDescent="0.25">
      <c r="A12" s="1" t="s">
        <v>24</v>
      </c>
      <c r="E12" s="187" t="e">
        <f>+'Cash flow proforma 20-21'!#REF!</f>
        <v>#REF!</v>
      </c>
      <c r="F12" s="188" t="e">
        <f>+'Cash flow proforma 20-21'!#REF!</f>
        <v>#REF!</v>
      </c>
      <c r="G12" s="187" t="e">
        <f>+'Cash flow proforma 20-21'!#REF!+'Cash flow proforma 20-21'!#REF!+'Cash flow proforma 20-21'!#REF!+'Cash flow proforma 20-21'!#REF!+'Cash flow proforma 20-21'!#REF!-H12</f>
        <v>#REF!</v>
      </c>
      <c r="H12" s="188" t="e">
        <f>+'Cash flow proforma 20-21'!#REF!+'Cash flow proforma 20-21'!#REF!</f>
        <v>#REF!</v>
      </c>
      <c r="I12" s="187" t="e">
        <f>+'Cash flow proforma 20-21'!#REF!+'Cash flow proforma 20-21'!#REF!+'Cash flow proforma 20-21'!#REF!</f>
        <v>#REF!</v>
      </c>
      <c r="J12" s="188" t="e">
        <f>+'Cash flow proforma 20-21'!#REF!+'Cash flow proforma 20-21'!#REF!</f>
        <v>#REF!</v>
      </c>
      <c r="K12" s="187" t="e">
        <f>+'Cash flow proforma 20-21'!#REF!+'Cash flow proforma 20-21'!#REF!</f>
        <v>#REF!</v>
      </c>
      <c r="L12" s="188" t="e">
        <f>+'Cash flow proforma 20-21'!#REF!+'Cash flow proforma 20-21'!#REF!</f>
        <v>#REF!</v>
      </c>
      <c r="M12" s="187"/>
      <c r="N12" s="188" t="e">
        <f>+'Cash flow proforma 20-21'!#REF!+'Cash flow proforma 20-21'!#REF!</f>
        <v>#REF!</v>
      </c>
      <c r="O12" s="219"/>
      <c r="P12" s="188" t="e">
        <f>+'Cash flow proforma 20-21'!#REF!+'Cash flow proforma 20-21'!#REF!+'Cash flow proforma 20-21'!#REF!</f>
        <v>#REF!</v>
      </c>
      <c r="Q12" s="187" t="e">
        <f>+'Cash flow proforma 20-21'!#REF!+'Cash flow proforma 20-21'!#REF!</f>
        <v>#REF!</v>
      </c>
      <c r="R12" s="188" t="e">
        <f>+'Cash flow proforma 20-21'!#REF!</f>
        <v>#REF!</v>
      </c>
      <c r="S12" s="187"/>
      <c r="T12" s="188" t="e">
        <f>+'Cash flow proforma 20-21'!#REF!</f>
        <v>#REF!</v>
      </c>
      <c r="U12" s="187" t="e">
        <f>+'Cash flow proforma 20-21'!#REF!+'Cash flow proforma 20-21'!#REF!</f>
        <v>#REF!</v>
      </c>
      <c r="V12" s="188" t="e">
        <f>+'Cash flow proforma 20-21'!#REF!+'Cash flow proforma 20-21'!#REF!</f>
        <v>#REF!</v>
      </c>
      <c r="W12" s="187" t="e">
        <f>+'Cash flow proforma 20-21'!#REF!</f>
        <v>#REF!</v>
      </c>
      <c r="X12" s="188" t="e">
        <f>+'Cash flow proforma 20-21'!#REF!</f>
        <v>#REF!</v>
      </c>
      <c r="Y12" s="187" t="e">
        <f>+'Cash flow proforma 20-21'!#REF!+'Cash flow proforma 20-21'!#REF!</f>
        <v>#REF!</v>
      </c>
      <c r="Z12" s="188" t="e">
        <f>+'Cash flow proforma 20-21'!#REF!</f>
        <v>#REF!</v>
      </c>
      <c r="AA12" s="163" t="e">
        <f>SUM(G12:Z12)</f>
        <v>#REF!</v>
      </c>
      <c r="AB12" s="163" t="str">
        <f>+'Summary and scenarios'!Q10</f>
        <v>From 22 Feb pipeline updated 25 Feb</v>
      </c>
      <c r="AC12" s="163"/>
      <c r="AD12" s="163"/>
      <c r="AE12" s="163" t="e">
        <f>SUM(G12:Z12)</f>
        <v>#REF!</v>
      </c>
      <c r="AF12" s="163">
        <f>+'Summary and scenarios'!T10</f>
        <v>518000</v>
      </c>
    </row>
    <row r="13" spans="1:32" hidden="1" outlineLevel="1" x14ac:dyDescent="0.25">
      <c r="A13" s="1" t="s">
        <v>25</v>
      </c>
      <c r="E13" s="187"/>
      <c r="F13" s="188"/>
      <c r="G13" s="187"/>
      <c r="H13" s="188"/>
      <c r="I13" s="187"/>
      <c r="J13" s="188"/>
      <c r="K13" s="187"/>
      <c r="L13" s="188"/>
      <c r="M13" s="187"/>
      <c r="N13" s="188"/>
      <c r="O13" s="219"/>
      <c r="P13" s="188"/>
      <c r="Q13" s="187"/>
      <c r="R13" s="188"/>
      <c r="S13" s="187"/>
      <c r="T13" s="188"/>
      <c r="U13" s="187"/>
      <c r="V13" s="188"/>
      <c r="W13" s="187"/>
      <c r="X13" s="188"/>
      <c r="Y13" s="187"/>
      <c r="Z13" s="188"/>
      <c r="AA13" s="163"/>
      <c r="AB13" s="180" t="s">
        <v>26</v>
      </c>
      <c r="AC13" s="180"/>
      <c r="AD13" s="180"/>
      <c r="AE13" s="180"/>
    </row>
    <row r="14" spans="1:32" hidden="1" outlineLevel="1" x14ac:dyDescent="0.25">
      <c r="A14" s="42" t="s">
        <v>27</v>
      </c>
      <c r="E14" s="187" t="e">
        <f>-E12/3*2</f>
        <v>#REF!</v>
      </c>
      <c r="F14" s="186"/>
      <c r="G14" s="187"/>
      <c r="H14" s="188"/>
      <c r="I14" s="187"/>
      <c r="J14" s="188"/>
      <c r="K14" s="187"/>
      <c r="L14" s="188"/>
      <c r="M14" s="187"/>
      <c r="N14" s="188"/>
      <c r="O14" s="219"/>
      <c r="P14" s="188"/>
      <c r="Q14" s="187"/>
      <c r="R14" s="188"/>
      <c r="S14" s="187"/>
      <c r="T14" s="188"/>
      <c r="U14" s="187"/>
      <c r="V14" s="188"/>
      <c r="W14" s="187"/>
      <c r="X14" s="188"/>
      <c r="Y14" s="187"/>
      <c r="Z14" s="188"/>
      <c r="AA14" s="163"/>
      <c r="AB14" s="163"/>
      <c r="AC14" s="163"/>
      <c r="AD14" s="163"/>
      <c r="AE14" s="163"/>
    </row>
    <row r="15" spans="1:32" hidden="1" outlineLevel="1" x14ac:dyDescent="0.25">
      <c r="A15" s="42" t="s">
        <v>28</v>
      </c>
      <c r="E15" s="187"/>
      <c r="F15" s="188"/>
      <c r="G15" s="187"/>
      <c r="H15" s="188"/>
      <c r="I15" s="187"/>
      <c r="J15" s="188"/>
      <c r="K15" s="187"/>
      <c r="L15" s="188"/>
      <c r="M15" s="187"/>
      <c r="N15" s="188"/>
      <c r="O15" s="219"/>
      <c r="P15" s="188"/>
      <c r="Q15" s="187"/>
      <c r="R15" s="188"/>
      <c r="S15" s="187"/>
      <c r="T15" s="188"/>
      <c r="U15" s="187"/>
      <c r="V15" s="188"/>
      <c r="W15" s="187"/>
      <c r="X15" s="188"/>
      <c r="Y15" s="187"/>
      <c r="Z15" s="188"/>
      <c r="AA15" s="163"/>
      <c r="AB15" s="163">
        <f t="shared" ref="AB15:AB20" si="1">SUM(G15:Z15)</f>
        <v>0</v>
      </c>
      <c r="AC15" s="163"/>
      <c r="AD15" s="163"/>
      <c r="AE15" s="163"/>
    </row>
    <row r="16" spans="1:32" hidden="1" outlineLevel="1" x14ac:dyDescent="0.25">
      <c r="A16" s="42" t="s">
        <v>29</v>
      </c>
      <c r="E16" s="187"/>
      <c r="F16" s="188"/>
      <c r="G16" s="187"/>
      <c r="H16" s="188"/>
      <c r="K16" s="187"/>
      <c r="L16" s="186"/>
      <c r="M16" s="187"/>
      <c r="N16" s="188"/>
      <c r="O16" s="219"/>
      <c r="P16" s="188"/>
      <c r="Q16" s="187"/>
      <c r="R16" s="188"/>
      <c r="S16" s="187"/>
      <c r="T16" s="188"/>
      <c r="U16" s="187"/>
      <c r="V16" s="188"/>
      <c r="W16" s="187"/>
      <c r="X16" s="188"/>
      <c r="Y16" s="187"/>
      <c r="Z16" s="188"/>
      <c r="AA16" s="163"/>
      <c r="AB16" s="163">
        <f t="shared" si="1"/>
        <v>0</v>
      </c>
      <c r="AC16" s="163"/>
      <c r="AD16" s="163"/>
      <c r="AE16" s="163"/>
    </row>
    <row r="17" spans="1:31" hidden="1" outlineLevel="1" x14ac:dyDescent="0.25">
      <c r="A17" s="42" t="s">
        <v>30</v>
      </c>
      <c r="E17" s="187"/>
      <c r="F17" s="188"/>
      <c r="G17" s="187"/>
      <c r="H17" s="188"/>
      <c r="I17" s="187"/>
      <c r="J17" s="186"/>
      <c r="K17" s="187"/>
      <c r="L17" s="188"/>
      <c r="M17" s="187"/>
      <c r="N17" s="188"/>
      <c r="O17" s="219"/>
      <c r="P17" s="188"/>
      <c r="Q17" s="187"/>
      <c r="R17" s="188"/>
      <c r="S17" s="187"/>
      <c r="T17" s="188"/>
      <c r="U17" s="187"/>
      <c r="V17" s="188"/>
      <c r="W17" s="187"/>
      <c r="X17" s="188"/>
      <c r="Y17" s="187"/>
      <c r="Z17" s="188"/>
      <c r="AA17" s="163"/>
      <c r="AB17" s="163">
        <f t="shared" si="1"/>
        <v>0</v>
      </c>
      <c r="AC17" s="163"/>
      <c r="AD17" s="163"/>
      <c r="AE17" s="163"/>
    </row>
    <row r="18" spans="1:31" hidden="1" outlineLevel="1" x14ac:dyDescent="0.25">
      <c r="A18" s="1" t="s">
        <v>31</v>
      </c>
      <c r="E18" s="187"/>
      <c r="F18" s="188"/>
      <c r="G18" s="187"/>
      <c r="H18" s="188"/>
      <c r="K18" s="187"/>
      <c r="L18" s="188"/>
      <c r="M18" s="187"/>
      <c r="N18" s="188"/>
      <c r="O18" s="219"/>
      <c r="P18" s="188"/>
      <c r="Q18" s="187"/>
      <c r="R18" s="188"/>
      <c r="S18" s="187"/>
      <c r="T18" s="188"/>
      <c r="U18" s="187"/>
      <c r="V18" s="188"/>
      <c r="W18" s="187"/>
      <c r="X18" s="188"/>
      <c r="Y18" s="187"/>
      <c r="Z18" s="188"/>
      <c r="AA18" s="187"/>
      <c r="AB18" s="188"/>
      <c r="AC18" s="163"/>
      <c r="AD18" s="163"/>
      <c r="AE18" s="163"/>
    </row>
    <row r="19" spans="1:31" hidden="1" outlineLevel="1" x14ac:dyDescent="0.25">
      <c r="A19" s="1" t="s">
        <v>32</v>
      </c>
      <c r="E19" s="187"/>
      <c r="F19" s="188"/>
      <c r="G19" s="187"/>
      <c r="H19" s="188"/>
      <c r="I19" s="187"/>
      <c r="J19" s="188"/>
      <c r="K19" s="187"/>
      <c r="L19" s="188"/>
      <c r="M19" s="187"/>
      <c r="N19" s="188"/>
      <c r="O19" s="219"/>
      <c r="P19" s="188"/>
      <c r="Q19" s="187"/>
      <c r="R19" s="188"/>
      <c r="S19" s="187"/>
      <c r="T19" s="188"/>
      <c r="U19" s="187"/>
      <c r="V19" s="188"/>
      <c r="W19" s="187"/>
      <c r="X19" s="188"/>
      <c r="Y19" s="187"/>
      <c r="Z19" s="188"/>
      <c r="AA19" s="163"/>
      <c r="AB19" s="163">
        <f t="shared" si="1"/>
        <v>0</v>
      </c>
      <c r="AC19" s="163"/>
      <c r="AD19" s="163"/>
      <c r="AE19" s="163"/>
    </row>
    <row r="20" spans="1:31" hidden="1" outlineLevel="1" x14ac:dyDescent="0.25">
      <c r="A20" s="1" t="s">
        <v>31</v>
      </c>
      <c r="E20" s="187"/>
      <c r="F20" s="188"/>
      <c r="G20" s="187"/>
      <c r="H20" s="188"/>
      <c r="I20" s="187"/>
      <c r="J20" s="188"/>
      <c r="K20" s="187"/>
      <c r="L20" s="188"/>
      <c r="M20" s="187"/>
      <c r="N20" s="188"/>
      <c r="O20" s="219"/>
      <c r="P20" s="188"/>
      <c r="Q20" s="187"/>
      <c r="R20" s="188"/>
      <c r="S20" s="187"/>
      <c r="T20" s="188"/>
      <c r="U20" s="187"/>
      <c r="V20" s="188"/>
      <c r="W20" s="187"/>
      <c r="X20" s="188"/>
      <c r="Y20" s="187"/>
      <c r="Z20" s="188"/>
      <c r="AA20" s="163"/>
      <c r="AB20" s="163">
        <f t="shared" si="1"/>
        <v>0</v>
      </c>
      <c r="AC20" s="163" t="s">
        <v>33</v>
      </c>
      <c r="AD20" s="163"/>
      <c r="AE20" s="163"/>
    </row>
    <row r="21" spans="1:31" hidden="1" outlineLevel="1" x14ac:dyDescent="0.25">
      <c r="A21" s="1" t="s">
        <v>34</v>
      </c>
      <c r="E21" s="187"/>
      <c r="F21" s="188"/>
      <c r="G21" s="187"/>
      <c r="H21" s="188"/>
      <c r="I21" s="187"/>
      <c r="J21" s="188"/>
      <c r="K21" s="187"/>
      <c r="L21" s="188"/>
      <c r="M21" s="187"/>
      <c r="N21" s="188"/>
      <c r="O21" s="219"/>
      <c r="P21" s="188"/>
      <c r="Q21" s="187"/>
      <c r="R21" s="188"/>
      <c r="S21" s="187"/>
      <c r="T21" s="188"/>
      <c r="U21" s="187"/>
      <c r="V21" s="188"/>
      <c r="W21" s="187"/>
      <c r="X21" s="188"/>
      <c r="Y21" s="187"/>
      <c r="Z21" s="188"/>
      <c r="AA21" s="163"/>
      <c r="AB21" s="163"/>
      <c r="AC21" s="163"/>
      <c r="AD21" s="163"/>
      <c r="AE21" s="163"/>
    </row>
    <row r="22" spans="1:31" hidden="1" outlineLevel="1" x14ac:dyDescent="0.25">
      <c r="A22" s="1" t="s">
        <v>35</v>
      </c>
      <c r="E22" s="187"/>
      <c r="F22" s="188"/>
      <c r="G22" s="187"/>
      <c r="H22" s="188"/>
      <c r="I22" s="187"/>
      <c r="J22" s="188"/>
      <c r="K22" s="187"/>
      <c r="L22" s="188"/>
      <c r="M22" s="187"/>
      <c r="N22" s="188"/>
      <c r="O22" s="219"/>
      <c r="P22" s="188"/>
      <c r="Q22" s="187"/>
      <c r="R22" s="188"/>
      <c r="S22" s="187"/>
      <c r="T22" s="188"/>
      <c r="U22" s="187"/>
      <c r="V22" s="188"/>
      <c r="W22" s="187"/>
      <c r="X22" s="188"/>
      <c r="Y22" s="187"/>
      <c r="Z22" s="188"/>
      <c r="AA22" s="163"/>
      <c r="AB22" s="163"/>
      <c r="AC22" s="163"/>
      <c r="AD22" s="163"/>
      <c r="AE22" s="163"/>
    </row>
    <row r="23" spans="1:31" hidden="1" outlineLevel="1" x14ac:dyDescent="0.25">
      <c r="A23" s="1" t="s">
        <v>36</v>
      </c>
      <c r="E23" s="187"/>
      <c r="F23" s="188"/>
      <c r="G23" s="187"/>
      <c r="H23" s="188"/>
      <c r="I23" s="187"/>
      <c r="J23" s="188"/>
      <c r="K23" s="187"/>
      <c r="L23" s="188"/>
      <c r="M23" s="187"/>
      <c r="N23" s="188"/>
      <c r="O23" s="219"/>
      <c r="P23" s="188"/>
      <c r="Q23" s="187"/>
      <c r="R23" s="188"/>
      <c r="S23" s="163"/>
      <c r="T23" s="188"/>
      <c r="U23" s="163"/>
      <c r="V23" s="188"/>
      <c r="W23" s="163"/>
      <c r="X23" s="188"/>
      <c r="Y23" s="163"/>
      <c r="Z23" s="188"/>
      <c r="AA23" s="163"/>
      <c r="AB23" s="163"/>
      <c r="AC23" s="163"/>
      <c r="AD23" s="163"/>
      <c r="AE23" s="163"/>
    </row>
    <row r="24" spans="1:31" hidden="1" outlineLevel="1" x14ac:dyDescent="0.25">
      <c r="A24" s="1" t="s">
        <v>37</v>
      </c>
      <c r="E24" s="187"/>
      <c r="F24" s="188"/>
      <c r="G24" s="187"/>
      <c r="H24" s="188"/>
      <c r="I24" s="187"/>
      <c r="J24" s="188"/>
      <c r="K24" s="187"/>
      <c r="L24" s="188"/>
      <c r="M24" s="187"/>
      <c r="N24" s="188"/>
      <c r="O24" s="219"/>
      <c r="P24" s="188"/>
      <c r="Q24" s="187"/>
      <c r="R24" s="188"/>
      <c r="S24" s="187"/>
      <c r="T24" s="188"/>
      <c r="U24" s="187"/>
      <c r="V24" s="188"/>
      <c r="W24" s="187"/>
      <c r="X24" s="188"/>
      <c r="Y24" s="187"/>
      <c r="Z24" s="188"/>
      <c r="AA24" s="163"/>
      <c r="AB24" s="163"/>
      <c r="AC24" s="163"/>
      <c r="AD24" s="163"/>
      <c r="AE24" s="163"/>
    </row>
    <row r="25" spans="1:31" hidden="1" outlineLevel="1" x14ac:dyDescent="0.25">
      <c r="A25" s="1" t="s">
        <v>38</v>
      </c>
      <c r="E25" s="187"/>
      <c r="F25" s="188"/>
      <c r="G25" s="187"/>
      <c r="H25" s="188"/>
      <c r="I25" s="187"/>
      <c r="J25" s="188"/>
      <c r="K25" s="187"/>
      <c r="L25" s="188"/>
      <c r="M25" s="187"/>
      <c r="N25" s="188"/>
      <c r="O25" s="219"/>
      <c r="P25" s="188"/>
      <c r="Q25" s="187"/>
      <c r="R25" s="188"/>
      <c r="S25" s="187"/>
      <c r="T25" s="188"/>
      <c r="U25" s="187"/>
      <c r="V25" s="188"/>
      <c r="W25" s="187"/>
      <c r="X25" s="188"/>
      <c r="Y25" s="187"/>
      <c r="Z25" s="188"/>
      <c r="AA25" s="163"/>
      <c r="AB25" s="163"/>
      <c r="AC25" s="163"/>
      <c r="AD25" s="163"/>
      <c r="AE25" s="163"/>
    </row>
    <row r="26" spans="1:31" hidden="1" outlineLevel="1" x14ac:dyDescent="0.25">
      <c r="A26" s="1" t="s">
        <v>39</v>
      </c>
      <c r="E26" s="187"/>
      <c r="F26" s="188"/>
      <c r="G26" s="187"/>
      <c r="H26" s="188"/>
      <c r="I26" s="187"/>
      <c r="J26" s="188"/>
      <c r="K26" s="187"/>
      <c r="L26" s="188"/>
      <c r="M26" s="187"/>
      <c r="N26" s="188"/>
      <c r="O26" s="219"/>
      <c r="P26" s="188"/>
      <c r="Q26" s="187"/>
      <c r="R26" s="188"/>
      <c r="S26" s="187"/>
      <c r="T26" s="188"/>
      <c r="U26" s="187"/>
      <c r="V26" s="188"/>
      <c r="W26" s="187"/>
      <c r="X26" s="188"/>
      <c r="Y26" s="187"/>
      <c r="Z26" s="188"/>
      <c r="AA26" s="163"/>
      <c r="AB26" s="163"/>
      <c r="AC26" s="163"/>
      <c r="AD26" s="163"/>
      <c r="AE26" s="163"/>
    </row>
    <row r="27" spans="1:31" hidden="1" outlineLevel="1" x14ac:dyDescent="0.25">
      <c r="A27" s="1" t="s">
        <v>40</v>
      </c>
      <c r="E27" s="187"/>
      <c r="F27" s="188"/>
      <c r="G27" s="187"/>
      <c r="H27" s="188"/>
      <c r="I27" s="187"/>
      <c r="J27" s="188"/>
      <c r="K27" s="187"/>
      <c r="L27" s="188"/>
      <c r="M27" s="187"/>
      <c r="N27" s="188"/>
      <c r="O27" s="219"/>
      <c r="P27" s="188"/>
      <c r="Q27" s="187"/>
      <c r="R27" s="188"/>
      <c r="S27" s="187"/>
      <c r="T27" s="188"/>
      <c r="U27" s="187"/>
      <c r="V27" s="188"/>
      <c r="W27" s="187"/>
      <c r="X27" s="188"/>
      <c r="Y27" s="187"/>
      <c r="Z27" s="188"/>
      <c r="AA27" s="163"/>
      <c r="AB27" s="163"/>
      <c r="AC27" s="163"/>
      <c r="AD27" s="163"/>
      <c r="AE27" s="163"/>
    </row>
    <row r="28" spans="1:31" hidden="1" collapsed="1" x14ac:dyDescent="0.25">
      <c r="A28" s="1" t="s">
        <v>41</v>
      </c>
      <c r="E28" s="187" t="e">
        <f>SUM(E14:E18)</f>
        <v>#REF!</v>
      </c>
      <c r="F28" s="188"/>
      <c r="G28" s="187"/>
      <c r="H28" s="188"/>
      <c r="I28" s="187"/>
      <c r="J28" s="188"/>
      <c r="K28" s="187"/>
      <c r="L28" s="188"/>
      <c r="M28" s="187"/>
      <c r="N28" s="188"/>
      <c r="O28" s="187"/>
      <c r="P28" s="188"/>
      <c r="Q28" s="187"/>
      <c r="R28" s="188"/>
      <c r="S28" s="187"/>
      <c r="T28" s="188"/>
      <c r="U28" s="187"/>
      <c r="V28" s="188"/>
      <c r="W28" s="187"/>
      <c r="X28" s="188"/>
      <c r="Y28" s="187"/>
      <c r="Z28" s="188"/>
      <c r="AA28" s="163"/>
      <c r="AB28" s="163" t="e">
        <f>SUM(E28:Z28)</f>
        <v>#REF!</v>
      </c>
      <c r="AC28" s="163"/>
      <c r="AD28" s="163"/>
      <c r="AE28" s="163">
        <f>SUM(G28:Z28)</f>
        <v>0</v>
      </c>
    </row>
    <row r="29" spans="1:31" hidden="1" x14ac:dyDescent="0.25">
      <c r="E29" s="187"/>
      <c r="F29" s="188"/>
      <c r="G29" s="187"/>
      <c r="H29" s="188"/>
      <c r="I29" s="187"/>
      <c r="J29" s="188"/>
      <c r="K29" s="187"/>
      <c r="L29" s="188"/>
      <c r="M29" s="187"/>
      <c r="N29" s="188"/>
      <c r="O29" s="219"/>
      <c r="P29" s="188"/>
      <c r="Q29" s="187"/>
      <c r="R29" s="188"/>
      <c r="S29" s="187"/>
      <c r="T29" s="188"/>
      <c r="U29" s="187"/>
      <c r="V29" s="188"/>
      <c r="W29" s="187"/>
      <c r="X29" s="188"/>
      <c r="Y29" s="187"/>
      <c r="Z29" s="188"/>
      <c r="AA29" s="163"/>
      <c r="AB29" s="163"/>
      <c r="AC29" s="163"/>
      <c r="AD29" s="163"/>
      <c r="AE29" s="163"/>
    </row>
    <row r="30" spans="1:31" hidden="1" x14ac:dyDescent="0.25">
      <c r="E30" s="187"/>
      <c r="F30" s="188"/>
      <c r="G30" s="187"/>
      <c r="H30" s="188"/>
      <c r="I30" s="187"/>
      <c r="J30" s="188"/>
      <c r="K30" s="187"/>
      <c r="L30" s="188"/>
      <c r="M30" s="187"/>
      <c r="N30" s="188"/>
      <c r="O30" s="219"/>
      <c r="P30" s="188"/>
      <c r="Q30" s="187"/>
      <c r="R30" s="188"/>
      <c r="S30" s="187"/>
      <c r="T30" s="188"/>
      <c r="U30" s="187"/>
      <c r="V30" s="188"/>
      <c r="W30" s="187"/>
      <c r="X30" s="188"/>
      <c r="Y30" s="187"/>
      <c r="Z30" s="188"/>
      <c r="AA30" s="163"/>
      <c r="AB30" s="163"/>
      <c r="AC30" s="163"/>
      <c r="AD30" s="163"/>
      <c r="AE30" s="163"/>
    </row>
    <row r="31" spans="1:31" hidden="1" x14ac:dyDescent="0.25">
      <c r="E31" s="187"/>
      <c r="F31" s="188"/>
      <c r="G31" s="187"/>
      <c r="H31" s="188"/>
      <c r="I31" s="187"/>
      <c r="J31" s="188"/>
      <c r="K31" s="187"/>
      <c r="L31" s="188"/>
      <c r="M31" s="187"/>
      <c r="N31" s="188"/>
      <c r="O31" s="219"/>
      <c r="P31" s="188"/>
      <c r="Q31" s="187"/>
      <c r="R31" s="188"/>
      <c r="S31" s="187"/>
      <c r="T31" s="188"/>
      <c r="U31" s="187"/>
      <c r="V31" s="188"/>
      <c r="W31" s="187"/>
      <c r="X31" s="188"/>
      <c r="Y31" s="187"/>
      <c r="Z31" s="188"/>
      <c r="AA31" s="163"/>
      <c r="AB31" s="163"/>
      <c r="AC31" s="163"/>
      <c r="AD31" s="163"/>
      <c r="AE31" s="163"/>
    </row>
    <row r="32" spans="1:31" hidden="1" x14ac:dyDescent="0.25">
      <c r="E32" s="187"/>
      <c r="F32" s="188"/>
      <c r="G32" s="187"/>
      <c r="H32" s="188"/>
      <c r="I32" s="187"/>
      <c r="J32" s="188"/>
      <c r="K32" s="187"/>
      <c r="L32" s="188"/>
      <c r="M32" s="187"/>
      <c r="N32" s="188"/>
      <c r="O32" s="219"/>
      <c r="P32" s="188"/>
      <c r="Q32" s="187"/>
      <c r="R32" s="188"/>
      <c r="S32" s="187"/>
      <c r="T32" s="188"/>
      <c r="U32" s="187"/>
      <c r="V32" s="188"/>
      <c r="W32" s="187"/>
      <c r="X32" s="188"/>
      <c r="Y32" s="187"/>
      <c r="Z32" s="188"/>
      <c r="AA32" s="163"/>
      <c r="AB32" s="163"/>
      <c r="AC32" s="163"/>
      <c r="AD32" s="163"/>
      <c r="AE32" s="163"/>
    </row>
    <row r="33" spans="1:32" hidden="1" x14ac:dyDescent="0.25">
      <c r="E33" s="187"/>
      <c r="F33" s="188"/>
      <c r="G33" s="187"/>
      <c r="H33" s="188"/>
      <c r="I33" s="187"/>
      <c r="J33" s="188"/>
      <c r="K33" s="187"/>
      <c r="L33" s="188"/>
      <c r="M33" s="187"/>
      <c r="N33" s="188"/>
      <c r="O33" s="219"/>
      <c r="P33" s="188"/>
      <c r="Q33" s="187"/>
      <c r="R33" s="188"/>
      <c r="S33" s="187"/>
      <c r="T33" s="188"/>
      <c r="U33" s="187"/>
      <c r="V33" s="188"/>
      <c r="W33" s="187"/>
      <c r="X33" s="188"/>
      <c r="Y33" s="187"/>
      <c r="Z33" s="188"/>
      <c r="AA33" s="163"/>
      <c r="AB33" s="163"/>
      <c r="AC33" s="163"/>
      <c r="AD33" s="163"/>
      <c r="AE33" s="163"/>
    </row>
    <row r="34" spans="1:32" hidden="1" x14ac:dyDescent="0.25">
      <c r="E34" s="187"/>
      <c r="F34" s="188"/>
      <c r="G34" s="187"/>
      <c r="H34" s="188"/>
      <c r="I34" s="187"/>
      <c r="J34" s="188"/>
      <c r="K34" s="187"/>
      <c r="L34" s="188"/>
      <c r="M34" s="187"/>
      <c r="N34" s="188"/>
      <c r="O34" s="219"/>
      <c r="P34" s="188"/>
      <c r="Q34" s="187"/>
      <c r="R34" s="188"/>
      <c r="S34" s="187"/>
      <c r="T34" s="188"/>
      <c r="U34" s="187"/>
      <c r="V34" s="188"/>
      <c r="W34" s="187"/>
      <c r="X34" s="188"/>
      <c r="Y34" s="187"/>
      <c r="Z34" s="188"/>
      <c r="AA34" s="163"/>
      <c r="AB34" s="163"/>
      <c r="AC34" s="163"/>
      <c r="AD34" s="163"/>
      <c r="AE34" s="163"/>
    </row>
    <row r="35" spans="1:32" x14ac:dyDescent="0.25">
      <c r="E35" s="189" t="e">
        <f t="shared" ref="E35:Z35" si="2">+E28+E12+E11</f>
        <v>#REF!</v>
      </c>
      <c r="F35" s="190" t="e">
        <f t="shared" si="2"/>
        <v>#REF!</v>
      </c>
      <c r="G35" s="189" t="e">
        <f t="shared" si="2"/>
        <v>#REF!</v>
      </c>
      <c r="H35" s="190" t="e">
        <f t="shared" si="2"/>
        <v>#REF!</v>
      </c>
      <c r="I35" s="189" t="e">
        <f t="shared" si="2"/>
        <v>#REF!</v>
      </c>
      <c r="J35" s="190" t="e">
        <f t="shared" si="2"/>
        <v>#REF!</v>
      </c>
      <c r="K35" s="189" t="e">
        <f t="shared" si="2"/>
        <v>#REF!</v>
      </c>
      <c r="L35" s="190" t="e">
        <f t="shared" si="2"/>
        <v>#REF!</v>
      </c>
      <c r="M35" s="189" t="e">
        <f t="shared" si="2"/>
        <v>#REF!</v>
      </c>
      <c r="N35" s="190" t="e">
        <f t="shared" si="2"/>
        <v>#REF!</v>
      </c>
      <c r="O35" s="220" t="e">
        <f t="shared" si="2"/>
        <v>#REF!</v>
      </c>
      <c r="P35" s="190" t="e">
        <f t="shared" si="2"/>
        <v>#REF!</v>
      </c>
      <c r="Q35" s="189" t="e">
        <f t="shared" si="2"/>
        <v>#REF!</v>
      </c>
      <c r="R35" s="190" t="e">
        <f t="shared" si="2"/>
        <v>#REF!</v>
      </c>
      <c r="S35" s="189" t="e">
        <f t="shared" si="2"/>
        <v>#REF!</v>
      </c>
      <c r="T35" s="190" t="e">
        <f t="shared" si="2"/>
        <v>#REF!</v>
      </c>
      <c r="U35" s="189" t="e">
        <f t="shared" si="2"/>
        <v>#REF!</v>
      </c>
      <c r="V35" s="190" t="e">
        <f t="shared" si="2"/>
        <v>#REF!</v>
      </c>
      <c r="W35" s="189" t="e">
        <f t="shared" si="2"/>
        <v>#REF!</v>
      </c>
      <c r="X35" s="190" t="e">
        <f t="shared" si="2"/>
        <v>#REF!</v>
      </c>
      <c r="Y35" s="189" t="e">
        <f t="shared" si="2"/>
        <v>#REF!</v>
      </c>
      <c r="Z35" s="190" t="e">
        <f t="shared" si="2"/>
        <v>#REF!</v>
      </c>
      <c r="AA35" s="163"/>
      <c r="AB35" s="163"/>
      <c r="AC35" s="163"/>
      <c r="AD35" s="163"/>
      <c r="AE35" s="163"/>
    </row>
    <row r="36" spans="1:32" x14ac:dyDescent="0.25">
      <c r="E36" s="187"/>
      <c r="F36" s="188"/>
      <c r="G36" s="187"/>
      <c r="H36" s="188"/>
      <c r="I36" s="187"/>
      <c r="J36" s="188"/>
      <c r="K36" s="187"/>
      <c r="L36" s="188"/>
      <c r="M36" s="187"/>
      <c r="N36" s="188"/>
      <c r="O36" s="219"/>
      <c r="P36" s="188"/>
      <c r="Q36" s="187"/>
      <c r="R36" s="188"/>
      <c r="S36" s="187"/>
      <c r="T36" s="188"/>
      <c r="U36" s="187"/>
      <c r="V36" s="188"/>
      <c r="W36" s="187"/>
      <c r="X36" s="188"/>
      <c r="Y36" s="187"/>
      <c r="Z36" s="188"/>
      <c r="AA36" s="163"/>
      <c r="AB36" s="163"/>
      <c r="AC36" s="163"/>
      <c r="AD36" s="163"/>
      <c r="AE36" s="163"/>
    </row>
    <row r="37" spans="1:32" x14ac:dyDescent="0.25">
      <c r="A37" s="1" t="s">
        <v>42</v>
      </c>
      <c r="E37" s="187"/>
      <c r="F37" s="188"/>
      <c r="G37" s="187"/>
      <c r="H37" s="188"/>
      <c r="I37" s="187"/>
      <c r="J37" s="188"/>
      <c r="K37" s="187"/>
      <c r="L37" s="188"/>
      <c r="M37" s="187"/>
      <c r="N37" s="188"/>
      <c r="O37" s="219"/>
      <c r="P37" s="188"/>
      <c r="Q37" s="187"/>
      <c r="R37" s="188"/>
      <c r="S37" s="187"/>
      <c r="T37" s="188"/>
      <c r="U37" s="187"/>
      <c r="V37" s="188"/>
      <c r="W37" s="187"/>
      <c r="X37" s="188"/>
      <c r="Y37" s="187"/>
      <c r="Z37" s="188"/>
      <c r="AA37" s="163"/>
      <c r="AB37" s="163"/>
      <c r="AC37" s="163"/>
      <c r="AD37" s="163"/>
    </row>
    <row r="38" spans="1:32" x14ac:dyDescent="0.25">
      <c r="A38" s="1" t="s">
        <v>43</v>
      </c>
      <c r="C38" s="194">
        <v>0.73</v>
      </c>
      <c r="E38" s="187" t="e">
        <f>+'Cash flow proforma 20-21'!#REF!*$C$38</f>
        <v>#REF!</v>
      </c>
      <c r="F38" s="188" t="e">
        <f>+E38/$C$38*(100%-$C$38)</f>
        <v>#REF!</v>
      </c>
      <c r="G38" s="187">
        <v>-41000</v>
      </c>
      <c r="H38" s="188">
        <f>-75000-6000</f>
        <v>-81000</v>
      </c>
      <c r="I38" s="187" t="e">
        <f>+'Cash flow proforma 20-21'!#REF!*$C$38</f>
        <v>#REF!</v>
      </c>
      <c r="J38" s="188" t="e">
        <f>+I38/$C$38*(100%-$C$38)</f>
        <v>#REF!</v>
      </c>
      <c r="K38" s="187" t="e">
        <f>+'Cash flow proforma 20-21'!#REF!*$C$38</f>
        <v>#REF!</v>
      </c>
      <c r="L38" s="188" t="e">
        <f>+K38/$C$38*(100%-$C$38)</f>
        <v>#REF!</v>
      </c>
      <c r="M38" s="187" t="e">
        <f>+'Cash flow proforma 20-21'!#REF!*$C$38</f>
        <v>#REF!</v>
      </c>
      <c r="N38" s="188" t="e">
        <f>+M38/$C$38*(100%-$C$38)</f>
        <v>#REF!</v>
      </c>
      <c r="O38" s="219" t="e">
        <f>+'Cash flow proforma 20-21'!#REF!*$C$38</f>
        <v>#REF!</v>
      </c>
      <c r="P38" s="188" t="e">
        <f>+O38/$C$38*(100%-$C$38)</f>
        <v>#REF!</v>
      </c>
      <c r="Q38" s="187" t="e">
        <f>+'Cash flow proforma 20-21'!#REF!*$C$38</f>
        <v>#REF!</v>
      </c>
      <c r="R38" s="188" t="e">
        <f>+Q38/$C$38*(100%-$C$38)</f>
        <v>#REF!</v>
      </c>
      <c r="S38" s="187" t="e">
        <f>+'Cash flow proforma 20-21'!#REF!*$C$38</f>
        <v>#REF!</v>
      </c>
      <c r="T38" s="188" t="e">
        <f>+S38/$C$38*(100%-$C$38)</f>
        <v>#REF!</v>
      </c>
      <c r="U38" s="187" t="e">
        <f>+'Cash flow proforma 20-21'!#REF!*$C$38</f>
        <v>#REF!</v>
      </c>
      <c r="V38" s="188" t="e">
        <f>+U38/$C$38*(100%-$C$38)</f>
        <v>#REF!</v>
      </c>
      <c r="W38" s="187" t="e">
        <f>+'Cash flow proforma 20-21'!#REF!*$C$38</f>
        <v>#REF!</v>
      </c>
      <c r="X38" s="188" t="e">
        <f>+W38/$C$38*(100%-$C$38)</f>
        <v>#REF!</v>
      </c>
      <c r="Y38" s="187" t="e">
        <f>+'Cash flow proforma 20-21'!#REF!*$C$38</f>
        <v>#REF!</v>
      </c>
      <c r="Z38" s="188" t="e">
        <f>+Y38/$C$38*(100%-$C$38)</f>
        <v>#REF!</v>
      </c>
      <c r="AA38" s="163" t="e">
        <f t="shared" ref="AA38:AA41" si="3">SUM(G38:Z38)</f>
        <v>#REF!</v>
      </c>
      <c r="AB38" s="163"/>
      <c r="AC38" s="163"/>
      <c r="AD38" s="163"/>
      <c r="AE38" s="163" t="e">
        <f>SUM(G38:Z38)</f>
        <v>#REF!</v>
      </c>
    </row>
    <row r="39" spans="1:32" x14ac:dyDescent="0.25">
      <c r="A39" s="1" t="s">
        <v>44</v>
      </c>
      <c r="C39" s="194">
        <v>0.7</v>
      </c>
      <c r="E39" s="187" t="e">
        <f>(+'Cash flow proforma 20-21'!#REF!+'Cash flow proforma 20-21'!#REF!+'Cash flow proforma 20-21'!#REF!+'Cash flow proforma 20-21'!#REF!+'Cash flow proforma 20-21'!#REF!+'Cash flow proforma 20-21'!#REF!)*C39</f>
        <v>#REF!</v>
      </c>
      <c r="F39" s="188" t="e">
        <f>+E39/C39*(100%-C39)</f>
        <v>#REF!</v>
      </c>
      <c r="G39" s="187">
        <v>0</v>
      </c>
      <c r="H39" s="188">
        <v>-5000</v>
      </c>
      <c r="I39" s="187" t="e">
        <f>+'Cash flow proforma 20-21'!#REF!*$C$39</f>
        <v>#REF!</v>
      </c>
      <c r="J39" s="188" t="e">
        <f>+I39/$C$39*(100%-$C$39)</f>
        <v>#REF!</v>
      </c>
      <c r="K39" s="187" t="e">
        <f>+'Cash flow proforma 20-21'!#REF!*$C$39</f>
        <v>#REF!</v>
      </c>
      <c r="L39" s="188" t="e">
        <f>+K39/$C$39*(100%-$C$39)</f>
        <v>#REF!</v>
      </c>
      <c r="M39" s="187" t="e">
        <f>+'Cash flow proforma 20-21'!#REF!*$C$39</f>
        <v>#REF!</v>
      </c>
      <c r="N39" s="188" t="e">
        <f>+M39/$C$39*(100%-$C$39)</f>
        <v>#REF!</v>
      </c>
      <c r="O39" s="219" t="e">
        <f>+'Cash flow proforma 20-21'!#REF!*$C$39</f>
        <v>#REF!</v>
      </c>
      <c r="P39" s="188" t="e">
        <f>+O39/$C$39*(100%-$C$39)</f>
        <v>#REF!</v>
      </c>
      <c r="Q39" s="187" t="e">
        <f>+'Cash flow proforma 20-21'!#REF!*$C$39</f>
        <v>#REF!</v>
      </c>
      <c r="R39" s="188" t="e">
        <f>+Q39/$C$39*(100%-$C$39)</f>
        <v>#REF!</v>
      </c>
      <c r="S39" s="187" t="e">
        <f>+'Cash flow proforma 20-21'!#REF!*$C$39</f>
        <v>#REF!</v>
      </c>
      <c r="T39" s="188" t="e">
        <f>+S39/$C$39*(100%-$C$39)</f>
        <v>#REF!</v>
      </c>
      <c r="U39" s="187" t="e">
        <f>+'Cash flow proforma 20-21'!#REF!*$C$39</f>
        <v>#REF!</v>
      </c>
      <c r="V39" s="188" t="e">
        <f>+U39/$C$39*(100%-$C$39)</f>
        <v>#REF!</v>
      </c>
      <c r="W39" s="187" t="e">
        <f>+'Cash flow proforma 20-21'!#REF!*$C$39</f>
        <v>#REF!</v>
      </c>
      <c r="X39" s="188" t="e">
        <f>+W39/$C$39*(100%-$C$39)</f>
        <v>#REF!</v>
      </c>
      <c r="Y39" s="187" t="e">
        <f>+'Cash flow proforma 20-21'!#REF!*$C$39</f>
        <v>#REF!</v>
      </c>
      <c r="Z39" s="188" t="e">
        <f>+Y39/$C$39*(100%-$C$39)</f>
        <v>#REF!</v>
      </c>
      <c r="AA39" s="163" t="e">
        <f t="shared" si="3"/>
        <v>#REF!</v>
      </c>
      <c r="AB39" s="163"/>
      <c r="AC39" s="163"/>
      <c r="AD39" s="163"/>
      <c r="AE39" s="163" t="e">
        <f>SUM(G39:Z39)</f>
        <v>#REF!</v>
      </c>
    </row>
    <row r="40" spans="1:32" x14ac:dyDescent="0.25">
      <c r="A40" s="1" t="s">
        <v>45</v>
      </c>
      <c r="C40" s="194">
        <v>0.68</v>
      </c>
      <c r="E40" s="187" t="e">
        <f>SUM('Cash flow proforma 20-21'!#REF!)*$C$40</f>
        <v>#REF!</v>
      </c>
      <c r="F40" s="188" t="e">
        <f>+E40/$C$40*(100%-$C$40)</f>
        <v>#REF!</v>
      </c>
      <c r="G40" s="187">
        <v>-14000</v>
      </c>
      <c r="H40" s="188">
        <v>-19000</v>
      </c>
      <c r="I40" s="187" t="e">
        <f>SUM('Cash flow proforma 20-21'!#REF!)*$C$40</f>
        <v>#REF!</v>
      </c>
      <c r="J40" s="188" t="e">
        <f>+I40/$C$40*(100%-$C$40)</f>
        <v>#REF!</v>
      </c>
      <c r="K40" s="187" t="e">
        <f>SUM('Cash flow proforma 20-21'!#REF!)*$C$40</f>
        <v>#REF!</v>
      </c>
      <c r="L40" s="188" t="e">
        <f>+K40/$C$40*(100%-$C$40)</f>
        <v>#REF!</v>
      </c>
      <c r="M40" s="187" t="e">
        <f>SUM('Cash flow proforma 20-21'!#REF!)*$C$40</f>
        <v>#REF!</v>
      </c>
      <c r="N40" s="188" t="e">
        <f>+M40/$C$40*(100%-$C$40)</f>
        <v>#REF!</v>
      </c>
      <c r="O40" s="219" t="e">
        <f>SUM('Cash flow proforma 20-21'!#REF!)*$C$40</f>
        <v>#REF!</v>
      </c>
      <c r="P40" s="188" t="e">
        <f>+O40/$C$40*(100%-$C$40)</f>
        <v>#REF!</v>
      </c>
      <c r="Q40" s="187" t="e">
        <f>SUM('Cash flow proforma 20-21'!#REF!)*$C$40</f>
        <v>#REF!</v>
      </c>
      <c r="R40" s="188" t="e">
        <f>+Q40/$C$40*(100%-$C$40)</f>
        <v>#REF!</v>
      </c>
      <c r="S40" s="187" t="e">
        <f>SUM('Cash flow proforma 20-21'!#REF!)*$C$40</f>
        <v>#REF!</v>
      </c>
      <c r="T40" s="188" t="e">
        <f>+S40/$C$40*(100%-$C$40)</f>
        <v>#REF!</v>
      </c>
      <c r="U40" s="187" t="e">
        <f>SUM('Cash flow proforma 20-21'!#REF!)*$C$40</f>
        <v>#REF!</v>
      </c>
      <c r="V40" s="188" t="e">
        <f>+U40/$C$40*(100%-$C$40)</f>
        <v>#REF!</v>
      </c>
      <c r="W40" s="187" t="e">
        <f>SUM('Cash flow proforma 20-21'!#REF!)*$C$40</f>
        <v>#REF!</v>
      </c>
      <c r="X40" s="188" t="e">
        <f>+W40/$C$40*(100%-$C$40)</f>
        <v>#REF!</v>
      </c>
      <c r="Y40" s="187" t="e">
        <f>SUM('Cash flow proforma 20-21'!#REF!)*$C$40</f>
        <v>#REF!</v>
      </c>
      <c r="Z40" s="188" t="e">
        <f>+Y40/$C$40*(100%-$C$40)</f>
        <v>#REF!</v>
      </c>
      <c r="AA40" s="163" t="e">
        <f t="shared" si="3"/>
        <v>#REF!</v>
      </c>
      <c r="AB40" s="163"/>
      <c r="AC40" s="163"/>
      <c r="AD40" s="163"/>
      <c r="AE40" s="163" t="e">
        <f>SUM(G40:Z40)</f>
        <v>#REF!</v>
      </c>
    </row>
    <row r="41" spans="1:32" x14ac:dyDescent="0.25">
      <c r="E41" s="189" t="e">
        <f>SUM(E38:E40)</f>
        <v>#REF!</v>
      </c>
      <c r="F41" s="190" t="e">
        <f t="shared" ref="F41:Z41" si="4">SUM(F38:F40)</f>
        <v>#REF!</v>
      </c>
      <c r="G41" s="189">
        <f t="shared" si="4"/>
        <v>-55000</v>
      </c>
      <c r="H41" s="190">
        <f t="shared" si="4"/>
        <v>-105000</v>
      </c>
      <c r="I41" s="189" t="e">
        <f t="shared" si="4"/>
        <v>#REF!</v>
      </c>
      <c r="J41" s="190" t="e">
        <f t="shared" si="4"/>
        <v>#REF!</v>
      </c>
      <c r="K41" s="189" t="e">
        <f t="shared" si="4"/>
        <v>#REF!</v>
      </c>
      <c r="L41" s="190" t="e">
        <f t="shared" si="4"/>
        <v>#REF!</v>
      </c>
      <c r="M41" s="189" t="e">
        <f t="shared" si="4"/>
        <v>#REF!</v>
      </c>
      <c r="N41" s="190" t="e">
        <f t="shared" si="4"/>
        <v>#REF!</v>
      </c>
      <c r="O41" s="220" t="e">
        <f t="shared" si="4"/>
        <v>#REF!</v>
      </c>
      <c r="P41" s="190" t="e">
        <f t="shared" si="4"/>
        <v>#REF!</v>
      </c>
      <c r="Q41" s="189" t="e">
        <f t="shared" si="4"/>
        <v>#REF!</v>
      </c>
      <c r="R41" s="190" t="e">
        <f t="shared" si="4"/>
        <v>#REF!</v>
      </c>
      <c r="S41" s="189" t="e">
        <f t="shared" si="4"/>
        <v>#REF!</v>
      </c>
      <c r="T41" s="190" t="e">
        <f t="shared" si="4"/>
        <v>#REF!</v>
      </c>
      <c r="U41" s="189" t="e">
        <f t="shared" si="4"/>
        <v>#REF!</v>
      </c>
      <c r="V41" s="190" t="e">
        <f t="shared" si="4"/>
        <v>#REF!</v>
      </c>
      <c r="W41" s="189" t="e">
        <f t="shared" si="4"/>
        <v>#REF!</v>
      </c>
      <c r="X41" s="190" t="e">
        <f t="shared" si="4"/>
        <v>#REF!</v>
      </c>
      <c r="Y41" s="189" t="e">
        <f t="shared" si="4"/>
        <v>#REF!</v>
      </c>
      <c r="Z41" s="190" t="e">
        <f t="shared" si="4"/>
        <v>#REF!</v>
      </c>
      <c r="AA41" s="163" t="e">
        <f t="shared" si="3"/>
        <v>#REF!</v>
      </c>
      <c r="AB41" s="163"/>
      <c r="AC41" s="163"/>
      <c r="AD41" s="163"/>
    </row>
    <row r="42" spans="1:32" x14ac:dyDescent="0.25">
      <c r="E42" s="187"/>
      <c r="F42" s="188"/>
      <c r="G42" s="187"/>
      <c r="H42" s="188"/>
      <c r="I42" s="187"/>
      <c r="J42" s="188"/>
      <c r="K42" s="187"/>
      <c r="L42" s="188"/>
      <c r="M42" s="187"/>
      <c r="N42" s="188"/>
      <c r="O42" s="219"/>
      <c r="P42" s="188"/>
      <c r="Q42" s="187"/>
      <c r="R42" s="188"/>
      <c r="S42" s="187"/>
      <c r="T42" s="188"/>
      <c r="U42" s="187"/>
      <c r="V42" s="188"/>
      <c r="W42" s="187"/>
      <c r="X42" s="188"/>
      <c r="Y42" s="187"/>
      <c r="Z42" s="188"/>
      <c r="AA42" s="163"/>
      <c r="AB42" s="163"/>
      <c r="AC42" s="163"/>
      <c r="AD42" s="163"/>
    </row>
    <row r="43" spans="1:32" x14ac:dyDescent="0.25">
      <c r="A43" s="1" t="s">
        <v>46</v>
      </c>
      <c r="E43" s="187" t="e">
        <f>+E35+E41</f>
        <v>#REF!</v>
      </c>
      <c r="F43" s="188" t="e">
        <f t="shared" ref="F43:Z43" si="5">+F35+F41</f>
        <v>#REF!</v>
      </c>
      <c r="G43" s="187" t="e">
        <f t="shared" si="5"/>
        <v>#REF!</v>
      </c>
      <c r="H43" s="188" t="e">
        <f t="shared" si="5"/>
        <v>#REF!</v>
      </c>
      <c r="I43" s="187" t="e">
        <f t="shared" si="5"/>
        <v>#REF!</v>
      </c>
      <c r="J43" s="188" t="e">
        <f t="shared" si="5"/>
        <v>#REF!</v>
      </c>
      <c r="K43" s="187" t="e">
        <f t="shared" si="5"/>
        <v>#REF!</v>
      </c>
      <c r="L43" s="188" t="e">
        <f t="shared" si="5"/>
        <v>#REF!</v>
      </c>
      <c r="M43" s="187" t="e">
        <f t="shared" si="5"/>
        <v>#REF!</v>
      </c>
      <c r="N43" s="188" t="e">
        <f t="shared" si="5"/>
        <v>#REF!</v>
      </c>
      <c r="O43" s="219" t="e">
        <f t="shared" si="5"/>
        <v>#REF!</v>
      </c>
      <c r="P43" s="188" t="e">
        <f t="shared" si="5"/>
        <v>#REF!</v>
      </c>
      <c r="Q43" s="187" t="e">
        <f t="shared" si="5"/>
        <v>#REF!</v>
      </c>
      <c r="R43" s="188" t="e">
        <f t="shared" si="5"/>
        <v>#REF!</v>
      </c>
      <c r="S43" s="187" t="e">
        <f t="shared" si="5"/>
        <v>#REF!</v>
      </c>
      <c r="T43" s="188" t="e">
        <f t="shared" si="5"/>
        <v>#REF!</v>
      </c>
      <c r="U43" s="187" t="e">
        <f t="shared" si="5"/>
        <v>#REF!</v>
      </c>
      <c r="V43" s="188" t="e">
        <f t="shared" si="5"/>
        <v>#REF!</v>
      </c>
      <c r="W43" s="187" t="e">
        <f t="shared" si="5"/>
        <v>#REF!</v>
      </c>
      <c r="X43" s="188" t="e">
        <f t="shared" si="5"/>
        <v>#REF!</v>
      </c>
      <c r="Y43" s="187" t="e">
        <f t="shared" si="5"/>
        <v>#REF!</v>
      </c>
      <c r="Z43" s="188" t="e">
        <f t="shared" si="5"/>
        <v>#REF!</v>
      </c>
      <c r="AA43" s="163" t="e">
        <f t="shared" ref="AA43" si="6">SUM(G43:Z43)</f>
        <v>#REF!</v>
      </c>
      <c r="AB43" s="163" t="e">
        <f>+AA43+AA8</f>
        <v>#REF!</v>
      </c>
      <c r="AC43" s="163"/>
      <c r="AD43" s="163"/>
    </row>
    <row r="44" spans="1:32" x14ac:dyDescent="0.25">
      <c r="E44" s="187"/>
      <c r="F44" s="188"/>
      <c r="G44" s="187"/>
      <c r="H44" s="188"/>
      <c r="I44" s="187"/>
      <c r="J44" s="188"/>
      <c r="K44" s="187"/>
      <c r="L44" s="188"/>
      <c r="M44" s="187"/>
      <c r="N44" s="188"/>
      <c r="O44" s="219"/>
      <c r="P44" s="188"/>
      <c r="Q44" s="187"/>
      <c r="R44" s="188"/>
      <c r="S44" s="187"/>
      <c r="T44" s="188"/>
      <c r="U44" s="187"/>
      <c r="V44" s="188"/>
      <c r="W44" s="187"/>
      <c r="X44" s="188"/>
      <c r="Y44" s="187"/>
      <c r="Z44" s="188"/>
      <c r="AA44" s="163"/>
      <c r="AB44" s="163"/>
      <c r="AC44" s="163"/>
      <c r="AD44" s="163"/>
    </row>
    <row r="45" spans="1:32" ht="15.75" thickBot="1" x14ac:dyDescent="0.3">
      <c r="A45" s="178" t="s">
        <v>47</v>
      </c>
      <c r="B45" s="178"/>
      <c r="C45" s="178"/>
      <c r="D45" s="179"/>
      <c r="E45" s="191" t="e">
        <f t="shared" ref="E45:Z45" si="7">+E43+E8</f>
        <v>#REF!</v>
      </c>
      <c r="F45" s="195" t="e">
        <f t="shared" si="7"/>
        <v>#REF!</v>
      </c>
      <c r="G45" s="191" t="e">
        <f t="shared" si="7"/>
        <v>#REF!</v>
      </c>
      <c r="H45" s="195" t="e">
        <f t="shared" si="7"/>
        <v>#REF!</v>
      </c>
      <c r="I45" s="191" t="e">
        <f t="shared" si="7"/>
        <v>#REF!</v>
      </c>
      <c r="J45" s="195" t="e">
        <f t="shared" si="7"/>
        <v>#REF!</v>
      </c>
      <c r="K45" s="191" t="e">
        <f t="shared" si="7"/>
        <v>#REF!</v>
      </c>
      <c r="L45" s="195" t="e">
        <f t="shared" si="7"/>
        <v>#REF!</v>
      </c>
      <c r="M45" s="191" t="e">
        <f t="shared" si="7"/>
        <v>#REF!</v>
      </c>
      <c r="N45" s="195" t="e">
        <f t="shared" si="7"/>
        <v>#REF!</v>
      </c>
      <c r="O45" s="221" t="e">
        <f t="shared" si="7"/>
        <v>#REF!</v>
      </c>
      <c r="P45" s="195" t="e">
        <f t="shared" si="7"/>
        <v>#REF!</v>
      </c>
      <c r="Q45" s="191" t="e">
        <f t="shared" si="7"/>
        <v>#REF!</v>
      </c>
      <c r="R45" s="195" t="e">
        <f t="shared" si="7"/>
        <v>#REF!</v>
      </c>
      <c r="S45" s="191" t="e">
        <f t="shared" si="7"/>
        <v>#REF!</v>
      </c>
      <c r="T45" s="195" t="e">
        <f t="shared" si="7"/>
        <v>#REF!</v>
      </c>
      <c r="U45" s="191" t="e">
        <f t="shared" si="7"/>
        <v>#REF!</v>
      </c>
      <c r="V45" s="195" t="e">
        <f t="shared" si="7"/>
        <v>#REF!</v>
      </c>
      <c r="W45" s="191" t="e">
        <f t="shared" si="7"/>
        <v>#REF!</v>
      </c>
      <c r="X45" s="195" t="e">
        <f t="shared" si="7"/>
        <v>#REF!</v>
      </c>
      <c r="Y45" s="191" t="e">
        <f t="shared" si="7"/>
        <v>#REF!</v>
      </c>
      <c r="Z45" s="192" t="e">
        <f t="shared" si="7"/>
        <v>#REF!</v>
      </c>
      <c r="AA45" s="193" t="e">
        <f>SUM(AA8:AA42)</f>
        <v>#REF!</v>
      </c>
      <c r="AB45" s="163"/>
      <c r="AC45" s="163"/>
      <c r="AD45" s="163"/>
      <c r="AE45" s="140" t="e">
        <f>SUM(AE9:AE43)</f>
        <v>#REF!</v>
      </c>
    </row>
    <row r="46" spans="1:32" ht="16.5" thickTop="1" thickBot="1" x14ac:dyDescent="0.3">
      <c r="A46" s="1" t="s">
        <v>48</v>
      </c>
      <c r="E46" s="163"/>
      <c r="F46" s="198" t="e">
        <f>+F45+E45</f>
        <v>#REF!</v>
      </c>
      <c r="G46" s="163"/>
      <c r="H46" s="197" t="e">
        <f>+H45+G45</f>
        <v>#REF!</v>
      </c>
      <c r="I46" s="163"/>
      <c r="J46" s="197" t="e">
        <f>+J45+I45</f>
        <v>#REF!</v>
      </c>
      <c r="K46" s="163"/>
      <c r="L46" s="197" t="e">
        <f>+L45+K45</f>
        <v>#REF!</v>
      </c>
      <c r="M46" s="163"/>
      <c r="N46" s="197" t="e">
        <f>+N45+M45</f>
        <v>#REF!</v>
      </c>
      <c r="O46" s="222"/>
      <c r="P46" s="197" t="e">
        <f>+P45+O45</f>
        <v>#REF!</v>
      </c>
      <c r="Q46" s="163"/>
      <c r="R46" s="197" t="e">
        <f>+R45+Q45</f>
        <v>#REF!</v>
      </c>
      <c r="S46" s="163"/>
      <c r="T46" s="197" t="e">
        <f>+T45+S45</f>
        <v>#REF!</v>
      </c>
      <c r="U46" s="163"/>
      <c r="V46" s="197" t="e">
        <f>+V45+U45</f>
        <v>#REF!</v>
      </c>
      <c r="W46" s="163"/>
      <c r="X46" s="197" t="e">
        <f>+X45+W45</f>
        <v>#REF!</v>
      </c>
      <c r="Y46" s="163"/>
      <c r="Z46" s="197" t="e">
        <f>+Z45+Y45</f>
        <v>#REF!</v>
      </c>
      <c r="AA46" s="163"/>
      <c r="AB46" s="163"/>
      <c r="AC46" s="163"/>
      <c r="AD46" s="163"/>
    </row>
    <row r="47" spans="1:32" ht="15.75" thickTop="1" x14ac:dyDescent="0.25"/>
    <row r="48" spans="1:32" ht="15.75" hidden="1" customHeight="1" x14ac:dyDescent="0.25">
      <c r="AF48" t="s">
        <v>49</v>
      </c>
    </row>
    <row r="49" spans="1:34" ht="15.75" hidden="1" customHeight="1" x14ac:dyDescent="0.25">
      <c r="A49" s="101"/>
      <c r="D49" s="175"/>
      <c r="E49" s="175"/>
      <c r="F49" s="175"/>
      <c r="G49" s="175" t="str">
        <f>+G7</f>
        <v>£'000</v>
      </c>
      <c r="H49" s="175"/>
      <c r="I49" s="175" t="e">
        <f>+G53</f>
        <v>#REF!</v>
      </c>
      <c r="J49" s="175"/>
      <c r="K49" s="175" t="e">
        <f>+I53</f>
        <v>#REF!</v>
      </c>
      <c r="L49" s="175"/>
      <c r="M49" s="175" t="e">
        <f>+K53</f>
        <v>#REF!</v>
      </c>
      <c r="N49" s="175"/>
      <c r="O49" s="175" t="e">
        <f>+M53</f>
        <v>#REF!</v>
      </c>
      <c r="P49" s="175"/>
      <c r="Q49" s="175" t="e">
        <f>+O53</f>
        <v>#REF!</v>
      </c>
      <c r="R49" s="175"/>
      <c r="S49" s="175" t="e">
        <f>+Q53</f>
        <v>#REF!</v>
      </c>
      <c r="T49" s="175"/>
      <c r="U49" s="175" t="e">
        <f>+S53</f>
        <v>#REF!</v>
      </c>
      <c r="V49" s="175"/>
      <c r="W49" s="175" t="e">
        <f>+U53</f>
        <v>#REF!</v>
      </c>
      <c r="X49" s="175"/>
      <c r="Y49" s="175" t="e">
        <f>+W53</f>
        <v>#REF!</v>
      </c>
      <c r="Z49" s="175"/>
      <c r="AA49" s="175"/>
      <c r="AB49" s="175"/>
      <c r="AC49" s="175"/>
      <c r="AD49" s="175"/>
    </row>
    <row r="50" spans="1:34" ht="15.75" hidden="1" customHeight="1" x14ac:dyDescent="0.25">
      <c r="A50" s="101"/>
      <c r="B50" s="101"/>
      <c r="C50" s="101"/>
      <c r="D50" s="182"/>
      <c r="E50" s="182"/>
      <c r="F50" s="182"/>
      <c r="G50" s="182">
        <f>-G11</f>
        <v>0</v>
      </c>
      <c r="H50" s="182"/>
      <c r="I50" s="182" t="e">
        <f>-I11</f>
        <v>#REF!</v>
      </c>
      <c r="J50" s="182"/>
      <c r="K50" s="182" t="e">
        <f>-K11</f>
        <v>#REF!</v>
      </c>
      <c r="L50" s="182"/>
      <c r="M50" s="182" t="e">
        <f>-M11</f>
        <v>#REF!</v>
      </c>
      <c r="N50" s="182"/>
      <c r="O50" s="182" t="e">
        <f>-O11</f>
        <v>#REF!</v>
      </c>
      <c r="P50" s="182"/>
      <c r="Q50" s="182" t="e">
        <f>-Q11</f>
        <v>#REF!</v>
      </c>
      <c r="R50" s="182"/>
      <c r="S50" s="182" t="e">
        <f>-S11</f>
        <v>#REF!</v>
      </c>
      <c r="T50" s="182"/>
      <c r="U50" s="182" t="e">
        <f>-V11</f>
        <v>#REF!</v>
      </c>
      <c r="V50" s="182"/>
      <c r="W50" s="182" t="e">
        <f>-W11</f>
        <v>#REF!</v>
      </c>
      <c r="X50" s="182"/>
      <c r="Y50" s="182" t="e">
        <f>-Y11</f>
        <v>#REF!</v>
      </c>
      <c r="Z50" s="182"/>
      <c r="AA50" s="182"/>
      <c r="AB50" s="182"/>
      <c r="AC50" s="182"/>
      <c r="AD50" s="182"/>
      <c r="AE50" s="163" t="e">
        <f>SUM(G50:Y50)</f>
        <v>#REF!</v>
      </c>
      <c r="AH50" s="163" t="e">
        <f>+Y45</f>
        <v>#REF!</v>
      </c>
    </row>
    <row r="51" spans="1:34" ht="15.75" hidden="1" customHeight="1" x14ac:dyDescent="0.25">
      <c r="A51" s="101"/>
      <c r="B51" s="101"/>
      <c r="C51" s="196"/>
      <c r="D51" s="175"/>
      <c r="E51" s="175"/>
      <c r="F51" s="175"/>
      <c r="G51" s="175">
        <f>+'NEW MAIN'!G13*1000</f>
        <v>6000</v>
      </c>
      <c r="H51" s="175"/>
      <c r="I51" s="175">
        <f>+'NEW MAIN'!H13*1000</f>
        <v>106500</v>
      </c>
      <c r="J51" s="175"/>
      <c r="K51" s="175">
        <f>+'NEW MAIN'!I13*1000</f>
        <v>113250</v>
      </c>
      <c r="L51" s="175"/>
      <c r="M51" s="175">
        <f>+'NEW MAIN'!J13*1000</f>
        <v>144750</v>
      </c>
      <c r="N51" s="175"/>
      <c r="O51" s="175">
        <f>+'NEW MAIN'!K13*1000</f>
        <v>251250</v>
      </c>
      <c r="P51" s="175"/>
      <c r="Q51" s="175">
        <f>+'NEW MAIN'!L13*1000</f>
        <v>76500</v>
      </c>
      <c r="R51" s="175"/>
      <c r="S51" s="175">
        <f>+'NEW MAIN'!M13*1000</f>
        <v>143250</v>
      </c>
      <c r="T51" s="175"/>
      <c r="U51" s="175">
        <f>+'NEW MAIN'!N13*1000</f>
        <v>39750</v>
      </c>
      <c r="V51" s="175"/>
      <c r="W51" s="175">
        <f>+'NEW MAIN'!O13*1000</f>
        <v>21000</v>
      </c>
      <c r="X51" s="175"/>
      <c r="Y51" s="175">
        <f>+'NEW MAIN'!P13*1000</f>
        <v>153750</v>
      </c>
      <c r="Z51" s="175"/>
      <c r="AA51" s="175"/>
      <c r="AB51" s="175"/>
      <c r="AC51" s="175"/>
      <c r="AD51" s="175"/>
      <c r="AE51" s="163">
        <f>SUM(G51:Y51)</f>
        <v>1056000</v>
      </c>
      <c r="AF51" t="e">
        <f>+(AE11)*C51</f>
        <v>#REF!</v>
      </c>
      <c r="AG51" t="s">
        <v>50</v>
      </c>
      <c r="AH51" s="163" t="e">
        <f>+AE51-AE11</f>
        <v>#REF!</v>
      </c>
    </row>
    <row r="52" spans="1:34" ht="15.75" hidden="1" customHeight="1" x14ac:dyDescent="0.25">
      <c r="E52" s="163"/>
      <c r="F52" s="163"/>
      <c r="G52" s="163" t="e">
        <f t="shared" ref="G52:Y52" si="8">+G43</f>
        <v>#REF!</v>
      </c>
      <c r="H52" s="163"/>
      <c r="I52" s="163" t="e">
        <f t="shared" si="8"/>
        <v>#REF!</v>
      </c>
      <c r="J52" s="163"/>
      <c r="K52" s="163" t="e">
        <f t="shared" si="8"/>
        <v>#REF!</v>
      </c>
      <c r="L52" s="163"/>
      <c r="M52" s="163" t="e">
        <f t="shared" si="8"/>
        <v>#REF!</v>
      </c>
      <c r="N52" s="163"/>
      <c r="O52" s="222" t="e">
        <f t="shared" si="8"/>
        <v>#REF!</v>
      </c>
      <c r="P52" s="163"/>
      <c r="Q52" s="163" t="e">
        <f t="shared" si="8"/>
        <v>#REF!</v>
      </c>
      <c r="R52" s="163"/>
      <c r="S52" s="163" t="e">
        <f t="shared" si="8"/>
        <v>#REF!</v>
      </c>
      <c r="T52" s="163"/>
      <c r="U52" s="163" t="e">
        <f t="shared" si="8"/>
        <v>#REF!</v>
      </c>
      <c r="V52" s="163"/>
      <c r="W52" s="163" t="e">
        <f t="shared" si="8"/>
        <v>#REF!</v>
      </c>
      <c r="X52" s="163"/>
      <c r="Y52" s="163" t="e">
        <f t="shared" si="8"/>
        <v>#REF!</v>
      </c>
      <c r="Z52" s="163"/>
      <c r="AA52" s="163"/>
      <c r="AB52" s="163"/>
      <c r="AC52" s="163"/>
      <c r="AD52" s="163"/>
      <c r="AE52" s="163"/>
      <c r="AG52" t="s">
        <v>51</v>
      </c>
      <c r="AH52" s="163" t="e">
        <f>SUM(AH50:AH51)</f>
        <v>#REF!</v>
      </c>
    </row>
    <row r="53" spans="1:34" ht="15.75" hidden="1" customHeight="1" x14ac:dyDescent="0.25">
      <c r="A53" s="101"/>
      <c r="B53" s="101"/>
      <c r="C53" s="101"/>
      <c r="D53" s="175"/>
      <c r="E53" s="175"/>
      <c r="F53" s="175"/>
      <c r="G53" s="175" t="e">
        <f>SUM(G49:G52)</f>
        <v>#REF!</v>
      </c>
      <c r="H53" s="175"/>
      <c r="I53" s="175" t="e">
        <f t="shared" ref="I53:Y53" si="9">SUM(I49:I52)</f>
        <v>#REF!</v>
      </c>
      <c r="J53" s="175"/>
      <c r="K53" s="175" t="e">
        <f t="shared" si="9"/>
        <v>#REF!</v>
      </c>
      <c r="L53" s="175"/>
      <c r="M53" s="175" t="e">
        <f t="shared" si="9"/>
        <v>#REF!</v>
      </c>
      <c r="N53" s="175"/>
      <c r="O53" s="175" t="e">
        <f t="shared" si="9"/>
        <v>#REF!</v>
      </c>
      <c r="P53" s="175"/>
      <c r="Q53" s="175" t="e">
        <f t="shared" si="9"/>
        <v>#REF!</v>
      </c>
      <c r="R53" s="175"/>
      <c r="S53" s="175" t="e">
        <f t="shared" si="9"/>
        <v>#REF!</v>
      </c>
      <c r="T53" s="175"/>
      <c r="U53" s="175" t="e">
        <f t="shared" si="9"/>
        <v>#REF!</v>
      </c>
      <c r="V53" s="175"/>
      <c r="W53" s="175" t="e">
        <f t="shared" si="9"/>
        <v>#REF!</v>
      </c>
      <c r="X53" s="175"/>
      <c r="Y53" s="175" t="e">
        <f t="shared" si="9"/>
        <v>#REF!</v>
      </c>
      <c r="Z53" s="175"/>
      <c r="AA53" s="175"/>
      <c r="AB53" s="175"/>
      <c r="AC53" s="175"/>
      <c r="AD53" s="175"/>
    </row>
    <row r="54" spans="1:34" ht="15.75" hidden="1" customHeight="1" x14ac:dyDescent="0.25"/>
    <row r="55" spans="1:34" hidden="1" x14ac:dyDescent="0.25"/>
    <row r="56" spans="1:34" hidden="1" x14ac:dyDescent="0.25">
      <c r="D56" s="171"/>
      <c r="E56" s="171"/>
      <c r="F56" s="171"/>
      <c r="G56" s="171" t="str">
        <f>+G49</f>
        <v>£'000</v>
      </c>
      <c r="H56" s="171"/>
      <c r="I56" s="171" t="e">
        <f>+G60</f>
        <v>#REF!</v>
      </c>
      <c r="J56" s="171"/>
      <c r="K56" s="171" t="e">
        <f t="shared" ref="K56:Y56" si="10">+K49</f>
        <v>#REF!</v>
      </c>
      <c r="L56" s="171"/>
      <c r="M56" s="171" t="e">
        <f t="shared" si="10"/>
        <v>#REF!</v>
      </c>
      <c r="N56" s="171"/>
      <c r="O56" s="206" t="e">
        <f t="shared" si="10"/>
        <v>#REF!</v>
      </c>
      <c r="P56" s="171"/>
      <c r="Q56" s="171" t="e">
        <f t="shared" si="10"/>
        <v>#REF!</v>
      </c>
      <c r="R56" s="171"/>
      <c r="S56" s="171" t="e">
        <f t="shared" si="10"/>
        <v>#REF!</v>
      </c>
      <c r="T56" s="171"/>
      <c r="U56" s="171" t="e">
        <f t="shared" si="10"/>
        <v>#REF!</v>
      </c>
      <c r="V56" s="171"/>
      <c r="W56" s="171" t="e">
        <f t="shared" si="10"/>
        <v>#REF!</v>
      </c>
      <c r="X56" s="171"/>
      <c r="Y56" s="171" t="e">
        <f t="shared" si="10"/>
        <v>#REF!</v>
      </c>
      <c r="Z56" s="171"/>
      <c r="AA56" s="171"/>
      <c r="AB56" s="171"/>
      <c r="AC56" s="171"/>
      <c r="AD56" s="171"/>
    </row>
    <row r="57" spans="1:34" ht="15.75" hidden="1" customHeight="1" x14ac:dyDescent="0.25">
      <c r="A57" s="101"/>
      <c r="B57" s="101"/>
      <c r="C57" s="101"/>
      <c r="D57" s="182"/>
      <c r="E57" s="182"/>
      <c r="F57" s="182"/>
      <c r="G57" s="182">
        <f>+G50</f>
        <v>0</v>
      </c>
      <c r="H57" s="182"/>
      <c r="I57" s="182" t="e">
        <f t="shared" ref="I57:Y57" si="11">+I50</f>
        <v>#REF!</v>
      </c>
      <c r="J57" s="182"/>
      <c r="K57" s="182" t="e">
        <f t="shared" si="11"/>
        <v>#REF!</v>
      </c>
      <c r="L57" s="182"/>
      <c r="M57" s="182" t="e">
        <f t="shared" si="11"/>
        <v>#REF!</v>
      </c>
      <c r="N57" s="182"/>
      <c r="O57" s="182" t="e">
        <f t="shared" si="11"/>
        <v>#REF!</v>
      </c>
      <c r="P57" s="182"/>
      <c r="Q57" s="182" t="e">
        <f t="shared" si="11"/>
        <v>#REF!</v>
      </c>
      <c r="R57" s="182"/>
      <c r="S57" s="182" t="e">
        <f t="shared" si="11"/>
        <v>#REF!</v>
      </c>
      <c r="T57" s="182"/>
      <c r="U57" s="182" t="e">
        <f t="shared" si="11"/>
        <v>#REF!</v>
      </c>
      <c r="V57" s="182"/>
      <c r="W57" s="182" t="e">
        <f t="shared" si="11"/>
        <v>#REF!</v>
      </c>
      <c r="X57" s="182"/>
      <c r="Y57" s="182" t="e">
        <f t="shared" si="11"/>
        <v>#REF!</v>
      </c>
      <c r="Z57" s="182"/>
      <c r="AA57" s="182"/>
      <c r="AB57" s="182"/>
      <c r="AC57" s="182"/>
      <c r="AD57" s="182"/>
    </row>
    <row r="58" spans="1:34" hidden="1" x14ac:dyDescent="0.25">
      <c r="C58" s="194"/>
      <c r="D58" s="170" t="s">
        <v>52</v>
      </c>
      <c r="E58" s="171"/>
      <c r="F58" s="171"/>
      <c r="G58" s="171"/>
      <c r="H58" s="171"/>
      <c r="I58" s="171">
        <f>+G51</f>
        <v>6000</v>
      </c>
      <c r="J58" s="171"/>
      <c r="K58" s="171">
        <f>+I51</f>
        <v>106500</v>
      </c>
      <c r="L58" s="171"/>
      <c r="M58" s="171">
        <f>+K51</f>
        <v>113250</v>
      </c>
      <c r="N58" s="171"/>
      <c r="O58" s="206">
        <f>+M51</f>
        <v>144750</v>
      </c>
      <c r="P58" s="171"/>
      <c r="Q58" s="171">
        <f>+O51</f>
        <v>251250</v>
      </c>
      <c r="R58" s="171"/>
      <c r="S58" s="171">
        <f>+Q51</f>
        <v>76500</v>
      </c>
      <c r="T58" s="171"/>
      <c r="U58" s="171">
        <f>+S51</f>
        <v>143250</v>
      </c>
      <c r="V58" s="171"/>
      <c r="W58" s="171">
        <f>+U51</f>
        <v>39750</v>
      </c>
      <c r="X58" s="171"/>
      <c r="Y58" s="171">
        <f>+W51</f>
        <v>21000</v>
      </c>
      <c r="Z58" s="171"/>
      <c r="AA58" s="171"/>
      <c r="AB58" s="171"/>
      <c r="AC58" s="171"/>
      <c r="AD58" s="171"/>
      <c r="AE58" s="163">
        <f>SUM(I58:AD58)</f>
        <v>902250</v>
      </c>
      <c r="AF58" s="163" t="e">
        <f>+AF51-Y51</f>
        <v>#REF!</v>
      </c>
    </row>
    <row r="59" spans="1:34" ht="15.75" hidden="1" customHeight="1" x14ac:dyDescent="0.25">
      <c r="E59" s="163"/>
      <c r="F59" s="163"/>
      <c r="G59" s="163" t="e">
        <f>+G52</f>
        <v>#REF!</v>
      </c>
      <c r="H59" s="163"/>
      <c r="I59" s="163" t="e">
        <f t="shared" ref="I59:Y59" si="12">+I52</f>
        <v>#REF!</v>
      </c>
      <c r="J59" s="163"/>
      <c r="K59" s="163" t="e">
        <f t="shared" si="12"/>
        <v>#REF!</v>
      </c>
      <c r="L59" s="163"/>
      <c r="M59" s="163" t="e">
        <f t="shared" si="12"/>
        <v>#REF!</v>
      </c>
      <c r="N59" s="163"/>
      <c r="O59" s="222" t="e">
        <f t="shared" si="12"/>
        <v>#REF!</v>
      </c>
      <c r="P59" s="163"/>
      <c r="Q59" s="163" t="e">
        <f t="shared" si="12"/>
        <v>#REF!</v>
      </c>
      <c r="R59" s="163"/>
      <c r="S59" s="163" t="e">
        <f t="shared" si="12"/>
        <v>#REF!</v>
      </c>
      <c r="T59" s="163"/>
      <c r="U59" s="163" t="e">
        <f t="shared" si="12"/>
        <v>#REF!</v>
      </c>
      <c r="V59" s="163"/>
      <c r="W59" s="163" t="e">
        <f t="shared" si="12"/>
        <v>#REF!</v>
      </c>
      <c r="X59" s="163"/>
      <c r="Y59" s="163" t="e">
        <f t="shared" si="12"/>
        <v>#REF!</v>
      </c>
      <c r="Z59" s="163"/>
      <c r="AA59" s="163"/>
      <c r="AB59" s="163"/>
      <c r="AC59" s="163"/>
      <c r="AD59" s="163"/>
      <c r="AE59" s="163"/>
      <c r="AH59" s="163"/>
    </row>
    <row r="60" spans="1:34" hidden="1" x14ac:dyDescent="0.25">
      <c r="D60" s="171"/>
      <c r="E60" s="171"/>
      <c r="F60" s="171"/>
      <c r="G60" s="171" t="e">
        <f>SUM(G56:G59)</f>
        <v>#REF!</v>
      </c>
      <c r="H60" s="171"/>
      <c r="I60" s="171" t="e">
        <f t="shared" ref="I60:Y60" si="13">SUM(I56:I59)</f>
        <v>#REF!</v>
      </c>
      <c r="J60" s="171"/>
      <c r="K60" s="171" t="e">
        <f t="shared" si="13"/>
        <v>#REF!</v>
      </c>
      <c r="L60" s="171"/>
      <c r="M60" s="171" t="e">
        <f t="shared" si="13"/>
        <v>#REF!</v>
      </c>
      <c r="N60" s="171"/>
      <c r="O60" s="206" t="e">
        <f t="shared" si="13"/>
        <v>#REF!</v>
      </c>
      <c r="P60" s="171"/>
      <c r="Q60" s="171" t="e">
        <f t="shared" si="13"/>
        <v>#REF!</v>
      </c>
      <c r="R60" s="171"/>
      <c r="S60" s="171" t="e">
        <f t="shared" si="13"/>
        <v>#REF!</v>
      </c>
      <c r="T60" s="171"/>
      <c r="U60" s="171" t="e">
        <f t="shared" si="13"/>
        <v>#REF!</v>
      </c>
      <c r="V60" s="171"/>
      <c r="W60" s="171" t="e">
        <f t="shared" si="13"/>
        <v>#REF!</v>
      </c>
      <c r="X60" s="171"/>
      <c r="Y60" s="171" t="e">
        <f t="shared" si="13"/>
        <v>#REF!</v>
      </c>
      <c r="Z60" s="171"/>
      <c r="AA60" s="171"/>
      <c r="AB60" s="171"/>
      <c r="AC60" s="171"/>
      <c r="AD60" s="171"/>
    </row>
    <row r="61" spans="1:34" hidden="1" x14ac:dyDescent="0.25"/>
    <row r="65" spans="1:28" x14ac:dyDescent="0.25">
      <c r="A65" s="1" t="s">
        <v>53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0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8" x14ac:dyDescent="0.25">
      <c r="A66" s="1" t="s">
        <v>43</v>
      </c>
      <c r="C66" s="194">
        <v>0.3</v>
      </c>
      <c r="D66" s="1"/>
      <c r="E66" s="187" t="e">
        <f>+E38/$C$38*$C$66</f>
        <v>#REF!</v>
      </c>
      <c r="F66" s="188" t="e">
        <f>+E66/$C$66*(100%-$C$66)</f>
        <v>#REF!</v>
      </c>
      <c r="G66" s="187">
        <f>+G38/$C$38*$C$66</f>
        <v>-16849.31506849315</v>
      </c>
      <c r="H66" s="188">
        <f>+G66/$C$66*(100%-$C$66)</f>
        <v>-39315.068493150684</v>
      </c>
      <c r="I66" s="187" t="e">
        <f>+I38/$C$38*$C$66</f>
        <v>#REF!</v>
      </c>
      <c r="J66" s="188" t="e">
        <f>+I66/$C$66*(100%-$C$66)</f>
        <v>#REF!</v>
      </c>
      <c r="K66" s="187" t="e">
        <f>+K38/$C$38*$C$66</f>
        <v>#REF!</v>
      </c>
      <c r="L66" s="188" t="e">
        <f>+K66/$C$66*(100%-$C$66)</f>
        <v>#REF!</v>
      </c>
      <c r="M66" s="187" t="e">
        <f>+M38/$C$38*$C$66</f>
        <v>#REF!</v>
      </c>
      <c r="N66" s="188" t="e">
        <f>+M66/$C$66*(100%-$C$66)</f>
        <v>#REF!</v>
      </c>
      <c r="O66" s="219" t="e">
        <f>+O38/$C$38*$C$66</f>
        <v>#REF!</v>
      </c>
      <c r="P66" s="188" t="e">
        <f>+O66/$C$66*(100%-$C$66)</f>
        <v>#REF!</v>
      </c>
      <c r="Q66" s="187" t="e">
        <f>+Q38/$C$38*$C$66</f>
        <v>#REF!</v>
      </c>
      <c r="R66" s="188" t="e">
        <f>+Q66/$C$66*(100%-$C$66)</f>
        <v>#REF!</v>
      </c>
      <c r="S66" s="187" t="e">
        <f>+S38/$C$38*$C$66</f>
        <v>#REF!</v>
      </c>
      <c r="T66" s="188" t="e">
        <f>+S66/$C$66*(100%-$C$66)</f>
        <v>#REF!</v>
      </c>
      <c r="U66" s="187" t="e">
        <f>+U38/$C$38*$C$66</f>
        <v>#REF!</v>
      </c>
      <c r="V66" s="188" t="e">
        <f>+U66/$C$66*(100%-$C$66)</f>
        <v>#REF!</v>
      </c>
      <c r="W66" s="187" t="e">
        <f>+W38/$C$38*$C$66</f>
        <v>#REF!</v>
      </c>
      <c r="X66" s="188" t="e">
        <f>+W66/$C$66*(100%-$C$66)</f>
        <v>#REF!</v>
      </c>
      <c r="Y66" s="187" t="e">
        <f>+Y38/$C$38*$C$66</f>
        <v>#REF!</v>
      </c>
      <c r="Z66" s="188" t="e">
        <f>+Y66/$C$66*(100%-$C$66)</f>
        <v>#REF!</v>
      </c>
      <c r="AA66" s="163" t="e">
        <f>SUM(G66:Z66)</f>
        <v>#REF!</v>
      </c>
    </row>
    <row r="67" spans="1:28" x14ac:dyDescent="0.25">
      <c r="A67" s="1" t="s">
        <v>44</v>
      </c>
      <c r="C67" s="194">
        <v>0.3</v>
      </c>
      <c r="D67" s="1"/>
      <c r="E67" s="187" t="e">
        <f>+E39/$C$39*$C$66</f>
        <v>#REF!</v>
      </c>
      <c r="F67" s="188" t="e">
        <f>+E67/$C$67*(100%-$C$67)</f>
        <v>#REF!</v>
      </c>
      <c r="G67" s="187">
        <f>+G39/$C$39*$C$66</f>
        <v>0</v>
      </c>
      <c r="H67" s="188">
        <f>+G67/$C$67*(100%-$C$67)</f>
        <v>0</v>
      </c>
      <c r="I67" s="187" t="e">
        <f>+I39/$C$39*$C$66</f>
        <v>#REF!</v>
      </c>
      <c r="J67" s="188" t="e">
        <f>+I67/$C$67*(100%-$C$67)</f>
        <v>#REF!</v>
      </c>
      <c r="K67" s="187" t="e">
        <f>+K39/$C$39*$C$66</f>
        <v>#REF!</v>
      </c>
      <c r="L67" s="188" t="e">
        <f>+K67/$C$67*(100%-$C$67)</f>
        <v>#REF!</v>
      </c>
      <c r="M67" s="187" t="e">
        <f>+M39/$C$39*$C$66</f>
        <v>#REF!</v>
      </c>
      <c r="N67" s="188" t="e">
        <f>+M67/$C$67*(100%-$C$67)</f>
        <v>#REF!</v>
      </c>
      <c r="O67" s="219" t="e">
        <f>+O39/$C$39*$C$66</f>
        <v>#REF!</v>
      </c>
      <c r="P67" s="188" t="e">
        <f>+O67/$C$67*(100%-$C$67)</f>
        <v>#REF!</v>
      </c>
      <c r="Q67" s="187" t="e">
        <f>+Q39/$C$39*$C$66</f>
        <v>#REF!</v>
      </c>
      <c r="R67" s="188" t="e">
        <f>+Q67/$C$67*(100%-$C$67)</f>
        <v>#REF!</v>
      </c>
      <c r="S67" s="187" t="e">
        <f>+S39/$C$39*$C$66</f>
        <v>#REF!</v>
      </c>
      <c r="T67" s="188" t="e">
        <f>+S67/$C$67*(100%-$C$67)</f>
        <v>#REF!</v>
      </c>
      <c r="U67" s="187" t="e">
        <f>+U39/$C$39*$C$66</f>
        <v>#REF!</v>
      </c>
      <c r="V67" s="188" t="e">
        <f>+U67/$C$67*(100%-$C$67)</f>
        <v>#REF!</v>
      </c>
      <c r="W67" s="187" t="e">
        <f>+W39/$C$39*$C$66</f>
        <v>#REF!</v>
      </c>
      <c r="X67" s="188" t="e">
        <f>+W67/$C$67*(100%-$C$67)</f>
        <v>#REF!</v>
      </c>
      <c r="Y67" s="187" t="e">
        <f>+Y39/$C$39*$C$66</f>
        <v>#REF!</v>
      </c>
      <c r="Z67" s="188" t="e">
        <f>+Y67/$C$67*(100%-$C$67)</f>
        <v>#REF!</v>
      </c>
      <c r="AA67" s="163" t="e">
        <f>SUM(G67:Z67)</f>
        <v>#REF!</v>
      </c>
    </row>
    <row r="68" spans="1:28" x14ac:dyDescent="0.25">
      <c r="A68" s="1" t="s">
        <v>45</v>
      </c>
      <c r="C68" s="194">
        <v>0.3</v>
      </c>
      <c r="D68" s="1"/>
      <c r="E68" s="187" t="e">
        <f>+E40/$C$40*$C$66</f>
        <v>#REF!</v>
      </c>
      <c r="F68" s="188" t="e">
        <f>+E68/$C$68*(100%-$C$68)</f>
        <v>#REF!</v>
      </c>
      <c r="G68" s="187">
        <f>+G40/$C$40*$C$66</f>
        <v>-6176.4705882352937</v>
      </c>
      <c r="H68" s="188">
        <f>+G68/$C$68*(100%-$C$68)</f>
        <v>-14411.764705882351</v>
      </c>
      <c r="I68" s="187" t="e">
        <f>+I40/$C$40*$C$66</f>
        <v>#REF!</v>
      </c>
      <c r="J68" s="188" t="e">
        <f>+I68/$C$68*(100%-$C$68)</f>
        <v>#REF!</v>
      </c>
      <c r="K68" s="187" t="e">
        <f>+K40/$C$40*$C$66</f>
        <v>#REF!</v>
      </c>
      <c r="L68" s="188" t="e">
        <f>+K68/$C$68*(100%-$C$68)</f>
        <v>#REF!</v>
      </c>
      <c r="M68" s="187" t="e">
        <f>+M40/$C$40*$C$66</f>
        <v>#REF!</v>
      </c>
      <c r="N68" s="188" t="e">
        <f>+M68/$C$68*(100%-$C$68)</f>
        <v>#REF!</v>
      </c>
      <c r="O68" s="219" t="e">
        <f>+O40/$C$40*$C$66</f>
        <v>#REF!</v>
      </c>
      <c r="P68" s="188" t="e">
        <f>+O68/$C$68*(100%-$C$68)</f>
        <v>#REF!</v>
      </c>
      <c r="Q68" s="187" t="e">
        <f>+Q40/$C$40*$C$66</f>
        <v>#REF!</v>
      </c>
      <c r="R68" s="188" t="e">
        <f>+Q68/$C$68*(100%-$C$68)</f>
        <v>#REF!</v>
      </c>
      <c r="S68" s="187" t="e">
        <f>+S40/$C$40*$C$66</f>
        <v>#REF!</v>
      </c>
      <c r="T68" s="188" t="e">
        <f>+S68/$C$68*(100%-$C$68)</f>
        <v>#REF!</v>
      </c>
      <c r="U68" s="187" t="e">
        <f>+U40/$C$40*$C$66</f>
        <v>#REF!</v>
      </c>
      <c r="V68" s="188" t="e">
        <f>+U68/$C$68*(100%-$C$68)</f>
        <v>#REF!</v>
      </c>
      <c r="W68" s="187" t="e">
        <f>+W40/$C$40*$C$66</f>
        <v>#REF!</v>
      </c>
      <c r="X68" s="188" t="e">
        <f>+W68/$C$68*(100%-$C$68)</f>
        <v>#REF!</v>
      </c>
      <c r="Y68" s="187" t="e">
        <f>+Y40/$C$40*$C$66</f>
        <v>#REF!</v>
      </c>
      <c r="Z68" s="188" t="e">
        <f>+Y68/$C$68*(100%-$C$68)</f>
        <v>#REF!</v>
      </c>
      <c r="AA68" s="163" t="e">
        <f>SUM(G68:Z68)</f>
        <v>#REF!</v>
      </c>
    </row>
    <row r="69" spans="1:28" x14ac:dyDescent="0.25">
      <c r="D69" s="1"/>
      <c r="E69" s="189" t="e">
        <f>SUM(E66:E68)</f>
        <v>#REF!</v>
      </c>
      <c r="F69" s="190" t="e">
        <f t="shared" ref="F69:Z69" si="14">SUM(F66:F68)</f>
        <v>#REF!</v>
      </c>
      <c r="G69" s="189">
        <f t="shared" si="14"/>
        <v>-23025.785656728443</v>
      </c>
      <c r="H69" s="190">
        <f t="shared" si="14"/>
        <v>-53726.833199033033</v>
      </c>
      <c r="I69" s="189" t="e">
        <f t="shared" si="14"/>
        <v>#REF!</v>
      </c>
      <c r="J69" s="190" t="e">
        <f t="shared" si="14"/>
        <v>#REF!</v>
      </c>
      <c r="K69" s="189" t="e">
        <f t="shared" si="14"/>
        <v>#REF!</v>
      </c>
      <c r="L69" s="190" t="e">
        <f t="shared" si="14"/>
        <v>#REF!</v>
      </c>
      <c r="M69" s="189" t="e">
        <f t="shared" si="14"/>
        <v>#REF!</v>
      </c>
      <c r="N69" s="190" t="e">
        <f t="shared" si="14"/>
        <v>#REF!</v>
      </c>
      <c r="O69" s="220" t="e">
        <f t="shared" si="14"/>
        <v>#REF!</v>
      </c>
      <c r="P69" s="190" t="e">
        <f t="shared" si="14"/>
        <v>#REF!</v>
      </c>
      <c r="Q69" s="189" t="e">
        <f t="shared" si="14"/>
        <v>#REF!</v>
      </c>
      <c r="R69" s="190" t="e">
        <f t="shared" si="14"/>
        <v>#REF!</v>
      </c>
      <c r="S69" s="189" t="e">
        <f t="shared" si="14"/>
        <v>#REF!</v>
      </c>
      <c r="T69" s="190" t="e">
        <f t="shared" si="14"/>
        <v>#REF!</v>
      </c>
      <c r="U69" s="189" t="e">
        <f t="shared" si="14"/>
        <v>#REF!</v>
      </c>
      <c r="V69" s="190" t="e">
        <f t="shared" si="14"/>
        <v>#REF!</v>
      </c>
      <c r="W69" s="189" t="e">
        <f t="shared" si="14"/>
        <v>#REF!</v>
      </c>
      <c r="X69" s="190" t="e">
        <f t="shared" si="14"/>
        <v>#REF!</v>
      </c>
      <c r="Y69" s="189" t="e">
        <f t="shared" si="14"/>
        <v>#REF!</v>
      </c>
      <c r="Z69" s="190" t="e">
        <f t="shared" si="14"/>
        <v>#REF!</v>
      </c>
    </row>
    <row r="70" spans="1:28" x14ac:dyDescent="0.25">
      <c r="D70" s="1"/>
      <c r="E70" s="187"/>
      <c r="F70" s="188"/>
      <c r="G70" s="187"/>
      <c r="H70" s="188"/>
      <c r="I70" s="187"/>
      <c r="J70" s="188"/>
      <c r="K70" s="187"/>
      <c r="L70" s="188"/>
      <c r="M70" s="187"/>
      <c r="N70" s="188"/>
      <c r="O70" s="219"/>
      <c r="P70" s="188"/>
      <c r="Q70" s="187"/>
      <c r="R70" s="188"/>
      <c r="S70" s="187"/>
      <c r="T70" s="188"/>
      <c r="U70" s="187"/>
      <c r="V70" s="188"/>
      <c r="W70" s="187"/>
      <c r="X70" s="188"/>
      <c r="Y70" s="187"/>
      <c r="Z70" s="188"/>
    </row>
    <row r="71" spans="1:28" x14ac:dyDescent="0.25">
      <c r="A71" s="1" t="str">
        <f>+A43</f>
        <v xml:space="preserve">Movement </v>
      </c>
      <c r="D71" s="1"/>
      <c r="E71" s="187" t="e">
        <f>+E35+E69</f>
        <v>#REF!</v>
      </c>
      <c r="F71" s="188" t="e">
        <f t="shared" ref="F71:Z71" si="15">+F35+F69</f>
        <v>#REF!</v>
      </c>
      <c r="G71" s="187" t="e">
        <f t="shared" si="15"/>
        <v>#REF!</v>
      </c>
      <c r="H71" s="188" t="e">
        <f t="shared" si="15"/>
        <v>#REF!</v>
      </c>
      <c r="I71" s="187" t="e">
        <f t="shared" si="15"/>
        <v>#REF!</v>
      </c>
      <c r="J71" s="188" t="e">
        <f t="shared" si="15"/>
        <v>#REF!</v>
      </c>
      <c r="K71" s="187" t="e">
        <f t="shared" si="15"/>
        <v>#REF!</v>
      </c>
      <c r="L71" s="188" t="e">
        <f t="shared" si="15"/>
        <v>#REF!</v>
      </c>
      <c r="M71" s="187" t="e">
        <f t="shared" si="15"/>
        <v>#REF!</v>
      </c>
      <c r="N71" s="188" t="e">
        <f t="shared" si="15"/>
        <v>#REF!</v>
      </c>
      <c r="O71" s="219" t="e">
        <f t="shared" si="15"/>
        <v>#REF!</v>
      </c>
      <c r="P71" s="188" t="e">
        <f t="shared" si="15"/>
        <v>#REF!</v>
      </c>
      <c r="Q71" s="187" t="e">
        <f t="shared" si="15"/>
        <v>#REF!</v>
      </c>
      <c r="R71" s="188" t="e">
        <f t="shared" si="15"/>
        <v>#REF!</v>
      </c>
      <c r="S71" s="187" t="e">
        <f t="shared" si="15"/>
        <v>#REF!</v>
      </c>
      <c r="T71" s="188" t="e">
        <f t="shared" si="15"/>
        <v>#REF!</v>
      </c>
      <c r="U71" s="187" t="e">
        <f t="shared" si="15"/>
        <v>#REF!</v>
      </c>
      <c r="V71" s="188" t="e">
        <f t="shared" si="15"/>
        <v>#REF!</v>
      </c>
      <c r="W71" s="187" t="e">
        <f t="shared" si="15"/>
        <v>#REF!</v>
      </c>
      <c r="X71" s="188" t="e">
        <f t="shared" si="15"/>
        <v>#REF!</v>
      </c>
      <c r="Y71" s="187" t="e">
        <f t="shared" si="15"/>
        <v>#REF!</v>
      </c>
      <c r="Z71" s="188" t="e">
        <f t="shared" si="15"/>
        <v>#REF!</v>
      </c>
      <c r="AA71" s="163"/>
      <c r="AB71" s="163"/>
    </row>
    <row r="72" spans="1:28" x14ac:dyDescent="0.25">
      <c r="D72" s="1"/>
      <c r="E72" s="187"/>
      <c r="F72" s="188"/>
      <c r="G72" s="187"/>
      <c r="H72" s="188"/>
      <c r="I72" s="187"/>
      <c r="J72" s="188"/>
      <c r="K72" s="187"/>
      <c r="L72" s="188"/>
      <c r="M72" s="187"/>
      <c r="N72" s="188"/>
      <c r="O72" s="219"/>
      <c r="P72" s="188"/>
      <c r="Q72" s="187"/>
      <c r="R72" s="188"/>
      <c r="S72" s="187"/>
      <c r="T72" s="188"/>
      <c r="U72" s="187"/>
      <c r="V72" s="188"/>
      <c r="W72" s="187"/>
      <c r="X72" s="188"/>
      <c r="Y72" s="187"/>
      <c r="Z72" s="188"/>
    </row>
    <row r="73" spans="1:28" ht="15.75" thickBot="1" x14ac:dyDescent="0.3">
      <c r="A73" s="1" t="str">
        <f>+A45</f>
        <v>Balance cfwd</v>
      </c>
      <c r="D73" s="1"/>
      <c r="E73" s="191" t="e">
        <f>+E8+E71</f>
        <v>#REF!</v>
      </c>
      <c r="F73" s="195" t="e">
        <f>+F8+F71</f>
        <v>#REF!</v>
      </c>
      <c r="G73" s="191" t="e">
        <f>+E73+G71</f>
        <v>#REF!</v>
      </c>
      <c r="H73" s="195" t="e">
        <f>+F73+H71</f>
        <v>#REF!</v>
      </c>
      <c r="I73" s="191" t="e">
        <f t="shared" ref="I73:Z73" si="16">+G73+I71</f>
        <v>#REF!</v>
      </c>
      <c r="J73" s="195" t="e">
        <f t="shared" si="16"/>
        <v>#REF!</v>
      </c>
      <c r="K73" s="191" t="e">
        <f t="shared" si="16"/>
        <v>#REF!</v>
      </c>
      <c r="L73" s="195" t="e">
        <f t="shared" si="16"/>
        <v>#REF!</v>
      </c>
      <c r="M73" s="191" t="e">
        <f t="shared" si="16"/>
        <v>#REF!</v>
      </c>
      <c r="N73" s="195" t="e">
        <f t="shared" si="16"/>
        <v>#REF!</v>
      </c>
      <c r="O73" s="221" t="e">
        <f t="shared" si="16"/>
        <v>#REF!</v>
      </c>
      <c r="P73" s="195" t="e">
        <f t="shared" si="16"/>
        <v>#REF!</v>
      </c>
      <c r="Q73" s="191" t="e">
        <f t="shared" si="16"/>
        <v>#REF!</v>
      </c>
      <c r="R73" s="195" t="e">
        <f t="shared" si="16"/>
        <v>#REF!</v>
      </c>
      <c r="S73" s="191" t="e">
        <f t="shared" si="16"/>
        <v>#REF!</v>
      </c>
      <c r="T73" s="195" t="e">
        <f t="shared" si="16"/>
        <v>#REF!</v>
      </c>
      <c r="U73" s="191" t="e">
        <f t="shared" si="16"/>
        <v>#REF!</v>
      </c>
      <c r="V73" s="195" t="e">
        <f t="shared" si="16"/>
        <v>#REF!</v>
      </c>
      <c r="W73" s="191" t="e">
        <f t="shared" si="16"/>
        <v>#REF!</v>
      </c>
      <c r="X73" s="195" t="e">
        <f t="shared" si="16"/>
        <v>#REF!</v>
      </c>
      <c r="Y73" s="191" t="e">
        <f t="shared" si="16"/>
        <v>#REF!</v>
      </c>
      <c r="Z73" s="195" t="e">
        <f t="shared" si="16"/>
        <v>#REF!</v>
      </c>
      <c r="AA73" s="193" t="e">
        <f>+Y73+Z73</f>
        <v>#REF!</v>
      </c>
    </row>
    <row r="74" spans="1:28" ht="16.5" thickTop="1" thickBot="1" x14ac:dyDescent="0.3">
      <c r="A74" s="1" t="str">
        <f>+A46</f>
        <v>Total reserves cfwd</v>
      </c>
      <c r="D74" s="1"/>
      <c r="E74" s="163"/>
      <c r="F74" s="198" t="e">
        <f t="shared" ref="F74:Z74" si="17">+F46</f>
        <v>#REF!</v>
      </c>
      <c r="G74" s="163"/>
      <c r="H74" s="197" t="e">
        <f t="shared" si="17"/>
        <v>#REF!</v>
      </c>
      <c r="I74" s="163"/>
      <c r="J74" s="197" t="e">
        <f t="shared" si="17"/>
        <v>#REF!</v>
      </c>
      <c r="K74" s="163"/>
      <c r="L74" s="197" t="e">
        <f t="shared" si="17"/>
        <v>#REF!</v>
      </c>
      <c r="M74" s="163"/>
      <c r="N74" s="197" t="e">
        <f t="shared" si="17"/>
        <v>#REF!</v>
      </c>
      <c r="O74" s="222"/>
      <c r="P74" s="197" t="e">
        <f t="shared" si="17"/>
        <v>#REF!</v>
      </c>
      <c r="Q74" s="163"/>
      <c r="R74" s="197" t="e">
        <f t="shared" si="17"/>
        <v>#REF!</v>
      </c>
      <c r="S74" s="163"/>
      <c r="T74" s="197" t="e">
        <f t="shared" si="17"/>
        <v>#REF!</v>
      </c>
      <c r="U74" s="163"/>
      <c r="V74" s="197" t="e">
        <f t="shared" si="17"/>
        <v>#REF!</v>
      </c>
      <c r="W74" s="163"/>
      <c r="X74" s="197" t="e">
        <f t="shared" si="17"/>
        <v>#REF!</v>
      </c>
      <c r="Y74" s="163"/>
      <c r="Z74" s="197" t="e">
        <f t="shared" si="17"/>
        <v>#REF!</v>
      </c>
    </row>
    <row r="75" spans="1:28" ht="15.75" thickTop="1" x14ac:dyDescent="0.25"/>
    <row r="79" spans="1:28" x14ac:dyDescent="0.25">
      <c r="F79" s="163"/>
      <c r="H79" s="163" t="e">
        <f t="shared" ref="H79:Z79" si="18">+H11+H12</f>
        <v>#REF!</v>
      </c>
      <c r="J79" s="163" t="e">
        <f t="shared" si="18"/>
        <v>#REF!</v>
      </c>
      <c r="L79" s="163" t="e">
        <f>+L11+L12</f>
        <v>#REF!</v>
      </c>
      <c r="N79" s="163" t="e">
        <f t="shared" si="18"/>
        <v>#REF!</v>
      </c>
      <c r="P79" s="163" t="e">
        <f t="shared" si="18"/>
        <v>#REF!</v>
      </c>
      <c r="R79" s="163" t="e">
        <f t="shared" si="18"/>
        <v>#REF!</v>
      </c>
      <c r="T79" s="163" t="e">
        <f t="shared" si="18"/>
        <v>#REF!</v>
      </c>
      <c r="V79" s="163" t="e">
        <f t="shared" si="18"/>
        <v>#REF!</v>
      </c>
      <c r="X79" s="163" t="e">
        <f t="shared" si="18"/>
        <v>#REF!</v>
      </c>
      <c r="Z79" s="163" t="e">
        <f t="shared" si="18"/>
        <v>#REF!</v>
      </c>
      <c r="AA79" t="e">
        <f>SUM(G79:Z79)</f>
        <v>#REF!</v>
      </c>
      <c r="AB79" t="s">
        <v>54</v>
      </c>
    </row>
    <row r="80" spans="1:28" x14ac:dyDescent="0.25">
      <c r="G80" s="163" t="e">
        <f>+G11+G12</f>
        <v>#REF!</v>
      </c>
      <c r="I80" s="163" t="e">
        <f>+I11+I12</f>
        <v>#REF!</v>
      </c>
      <c r="K80" s="163" t="e">
        <f>+K11+K12</f>
        <v>#REF!</v>
      </c>
      <c r="M80" s="163" t="e">
        <f>+M11+M12</f>
        <v>#REF!</v>
      </c>
      <c r="O80" s="222" t="e">
        <f>+O11+O12</f>
        <v>#REF!</v>
      </c>
      <c r="Q80" s="163" t="e">
        <f>+Q11+Q12</f>
        <v>#REF!</v>
      </c>
      <c r="S80" s="163" t="e">
        <f>+S11+S12</f>
        <v>#REF!</v>
      </c>
      <c r="U80" s="163" t="e">
        <f>+U11+U12</f>
        <v>#REF!</v>
      </c>
      <c r="W80" s="163" t="e">
        <f>+W11+W12</f>
        <v>#REF!</v>
      </c>
      <c r="Y80" s="163" t="e">
        <f>+Y11+Y12</f>
        <v>#REF!</v>
      </c>
      <c r="AA80" t="e">
        <f>SUM(G80:Z80)</f>
        <v>#REF!</v>
      </c>
      <c r="AB80" t="s">
        <v>55</v>
      </c>
    </row>
  </sheetData>
  <mergeCells count="21">
    <mergeCell ref="S3:T3"/>
    <mergeCell ref="U3:V3"/>
    <mergeCell ref="W3:X3"/>
    <mergeCell ref="Y3:Z3"/>
    <mergeCell ref="E4:F4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O3:P3"/>
    <mergeCell ref="Q3:R3"/>
    <mergeCell ref="Q4:R4"/>
    <mergeCell ref="S4:T4"/>
    <mergeCell ref="U4:V4"/>
    <mergeCell ref="W4:X4"/>
    <mergeCell ref="Y4:Z4"/>
  </mergeCells>
  <pageMargins left="0.31496062992125984" right="0.31496062992125984" top="0.74803149606299213" bottom="0.74803149606299213" header="0.31496062992125984" footer="0.31496062992125984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tabColor rgb="FFFF0000"/>
    <pageSetUpPr fitToPage="1"/>
  </sheetPr>
  <dimension ref="A1:Q83"/>
  <sheetViews>
    <sheetView zoomScale="80" zoomScaleNormal="80" workbookViewId="0">
      <pane xSplit="4" ySplit="6" topLeftCell="E28" activePane="bottomRight" state="frozen"/>
      <selection pane="topRight" activeCell="A11" sqref="A11"/>
      <selection pane="bottomLeft" activeCell="A11" sqref="A11"/>
      <selection pane="bottomRight" activeCell="O29" sqref="O29"/>
    </sheetView>
  </sheetViews>
  <sheetFormatPr defaultRowHeight="15" x14ac:dyDescent="0.25"/>
  <cols>
    <col min="1" max="1" width="35.7109375" bestFit="1" customWidth="1"/>
    <col min="2" max="2" width="1" customWidth="1"/>
    <col min="3" max="3" width="8.7109375" customWidth="1"/>
    <col min="4" max="4" width="1" customWidth="1"/>
    <col min="5" max="8" width="9.5703125" bestFit="1" customWidth="1"/>
    <col min="9" max="9" width="67.140625" bestFit="1" customWidth="1"/>
    <col min="10" max="10" width="28.85546875" bestFit="1" customWidth="1"/>
    <col min="11" max="11" width="1" customWidth="1"/>
    <col min="13" max="13" width="11.28515625" bestFit="1" customWidth="1"/>
    <col min="16" max="16" width="8.5703125" bestFit="1" customWidth="1"/>
  </cols>
  <sheetData>
    <row r="1" spans="1:17" x14ac:dyDescent="0.25">
      <c r="A1" s="1" t="s">
        <v>0</v>
      </c>
    </row>
    <row r="2" spans="1:17" x14ac:dyDescent="0.25">
      <c r="A2" t="s">
        <v>243</v>
      </c>
    </row>
    <row r="3" spans="1:17" x14ac:dyDescent="0.25">
      <c r="A3" s="37" t="str">
        <f>'Apr 18'!A2</f>
        <v>Last updated: 16th May 2018</v>
      </c>
    </row>
    <row r="4" spans="1:17" s="3" customFormat="1" x14ac:dyDescent="0.25">
      <c r="A4" s="85"/>
      <c r="C4" s="5"/>
      <c r="E4" s="98">
        <v>14</v>
      </c>
      <c r="F4" s="98">
        <v>15</v>
      </c>
      <c r="G4" s="98">
        <v>16</v>
      </c>
      <c r="H4" s="98">
        <v>17</v>
      </c>
      <c r="J4" s="85" t="s">
        <v>244</v>
      </c>
      <c r="L4" s="98">
        <v>14</v>
      </c>
      <c r="M4" s="98">
        <v>15</v>
      </c>
      <c r="N4" s="98">
        <v>16</v>
      </c>
      <c r="O4" s="98">
        <v>17</v>
      </c>
      <c r="P4" s="5" t="s">
        <v>245</v>
      </c>
    </row>
    <row r="5" spans="1:17" s="3" customFormat="1" ht="12.75" customHeight="1" x14ac:dyDescent="0.25">
      <c r="E5" s="110" t="s">
        <v>246</v>
      </c>
      <c r="F5" s="110" t="s">
        <v>247</v>
      </c>
      <c r="G5" s="110" t="s">
        <v>248</v>
      </c>
      <c r="H5" s="110" t="s">
        <v>249</v>
      </c>
      <c r="L5" s="110" t="s">
        <v>246</v>
      </c>
      <c r="M5" s="110" t="s">
        <v>247</v>
      </c>
      <c r="N5" s="110" t="s">
        <v>248</v>
      </c>
      <c r="O5" s="110" t="s">
        <v>249</v>
      </c>
    </row>
    <row r="6" spans="1:17" x14ac:dyDescent="0.25">
      <c r="A6" s="1" t="s">
        <v>250</v>
      </c>
      <c r="C6" s="78"/>
      <c r="E6" s="86" t="e">
        <f>'Mar Zoom'!H45</f>
        <v>#REF!</v>
      </c>
      <c r="F6" s="86" t="e">
        <f>E44</f>
        <v>#REF!</v>
      </c>
      <c r="G6" s="86" t="e">
        <f>F44</f>
        <v>#REF!</v>
      </c>
      <c r="H6" s="86" t="e">
        <f>G44</f>
        <v>#REF!</v>
      </c>
      <c r="J6" s="1" t="s">
        <v>251</v>
      </c>
    </row>
    <row r="7" spans="1:17" x14ac:dyDescent="0.25">
      <c r="C7" s="78"/>
      <c r="E7" s="78"/>
      <c r="F7" s="78"/>
      <c r="G7" s="78"/>
      <c r="H7" s="78"/>
      <c r="L7" s="78"/>
      <c r="M7" s="78"/>
      <c r="P7" s="99"/>
    </row>
    <row r="8" spans="1:17" x14ac:dyDescent="0.25">
      <c r="A8" s="1" t="s">
        <v>252</v>
      </c>
      <c r="C8" s="78"/>
      <c r="E8" s="78"/>
      <c r="F8" s="78"/>
      <c r="G8" s="78"/>
      <c r="H8" s="78"/>
      <c r="J8" t="s">
        <v>253</v>
      </c>
      <c r="M8" s="78"/>
      <c r="N8" s="78"/>
      <c r="O8" s="78"/>
      <c r="P8" s="99">
        <v>43128</v>
      </c>
    </row>
    <row r="9" spans="1:17" x14ac:dyDescent="0.25">
      <c r="A9" t="s">
        <v>254</v>
      </c>
      <c r="C9" s="78">
        <v>20000</v>
      </c>
      <c r="E9" s="78"/>
      <c r="F9" s="78"/>
      <c r="G9" s="78"/>
      <c r="H9" s="78"/>
      <c r="J9" t="s">
        <v>255</v>
      </c>
      <c r="N9" s="78">
        <v>-15584.35</v>
      </c>
      <c r="O9" s="78"/>
      <c r="P9" s="99"/>
    </row>
    <row r="10" spans="1:17" x14ac:dyDescent="0.25">
      <c r="C10" s="78"/>
      <c r="F10" s="78"/>
      <c r="J10" t="s">
        <v>256</v>
      </c>
      <c r="N10" s="78"/>
      <c r="O10" s="78"/>
      <c r="P10" s="99"/>
    </row>
    <row r="11" spans="1:17" x14ac:dyDescent="0.25">
      <c r="C11" s="78"/>
      <c r="E11" s="78"/>
      <c r="F11" s="78"/>
      <c r="G11" s="78"/>
      <c r="H11" s="78"/>
      <c r="J11" t="s">
        <v>257</v>
      </c>
      <c r="N11" s="78">
        <v>-386.02</v>
      </c>
      <c r="P11" s="99">
        <v>43101</v>
      </c>
    </row>
    <row r="12" spans="1:17" x14ac:dyDescent="0.25">
      <c r="C12" s="78"/>
      <c r="F12" s="78"/>
      <c r="G12" s="78"/>
      <c r="H12" s="78"/>
      <c r="J12" t="s">
        <v>258</v>
      </c>
      <c r="L12" s="78">
        <f>-500-2000.92</f>
        <v>-2500.92</v>
      </c>
      <c r="M12" s="78"/>
      <c r="P12" s="99"/>
      <c r="Q12" t="s">
        <v>259</v>
      </c>
    </row>
    <row r="13" spans="1:17" x14ac:dyDescent="0.25">
      <c r="A13" t="s">
        <v>260</v>
      </c>
      <c r="C13" s="78">
        <v>12500</v>
      </c>
      <c r="F13" s="78"/>
      <c r="G13" s="78"/>
      <c r="H13" s="78"/>
      <c r="J13" t="s">
        <v>261</v>
      </c>
      <c r="M13" s="78"/>
      <c r="N13" s="78">
        <v>-150</v>
      </c>
      <c r="P13" s="3"/>
      <c r="Q13" s="1" t="s">
        <v>262</v>
      </c>
    </row>
    <row r="14" spans="1:17" x14ac:dyDescent="0.25">
      <c r="C14" s="78"/>
      <c r="F14" s="78"/>
      <c r="G14" s="78"/>
      <c r="H14" s="78"/>
      <c r="J14" t="s">
        <v>263</v>
      </c>
      <c r="O14" s="90">
        <v>0</v>
      </c>
      <c r="P14" s="5"/>
      <c r="Q14" s="82"/>
    </row>
    <row r="15" spans="1:17" x14ac:dyDescent="0.25">
      <c r="C15" s="78"/>
      <c r="F15" s="78"/>
      <c r="G15" s="78"/>
      <c r="H15" s="78"/>
      <c r="M15" s="78"/>
      <c r="N15" s="78"/>
      <c r="O15" s="78"/>
      <c r="P15" s="99"/>
    </row>
    <row r="16" spans="1:17" x14ac:dyDescent="0.25">
      <c r="A16" t="s">
        <v>224</v>
      </c>
      <c r="C16" s="78">
        <v>5000</v>
      </c>
      <c r="E16" s="78"/>
      <c r="F16" s="78"/>
      <c r="G16" s="78"/>
      <c r="M16" s="78"/>
      <c r="N16" s="78"/>
      <c r="O16" s="78"/>
      <c r="P16" s="99"/>
    </row>
    <row r="17" spans="1:17" x14ac:dyDescent="0.25">
      <c r="C17" s="78"/>
      <c r="E17" s="78"/>
      <c r="F17" s="78"/>
      <c r="G17" s="78"/>
      <c r="H17" s="78"/>
      <c r="J17" t="s">
        <v>264</v>
      </c>
      <c r="N17" s="78">
        <v>-256.12</v>
      </c>
      <c r="O17" s="78"/>
      <c r="P17" s="3"/>
    </row>
    <row r="18" spans="1:17" x14ac:dyDescent="0.25">
      <c r="A18" t="s">
        <v>265</v>
      </c>
      <c r="C18" s="78">
        <v>10000</v>
      </c>
      <c r="E18" s="78"/>
      <c r="F18" s="78"/>
      <c r="G18" s="78"/>
      <c r="H18" s="78"/>
      <c r="J18" t="s">
        <v>266</v>
      </c>
      <c r="L18" s="78"/>
      <c r="N18" s="78"/>
      <c r="O18" s="78"/>
      <c r="P18" s="3"/>
      <c r="Q18" t="s">
        <v>267</v>
      </c>
    </row>
    <row r="19" spans="1:17" x14ac:dyDescent="0.25">
      <c r="A19" t="s">
        <v>268</v>
      </c>
      <c r="C19" s="78">
        <v>20000</v>
      </c>
      <c r="E19" s="78"/>
      <c r="F19" s="78"/>
      <c r="G19" s="78"/>
      <c r="H19" s="78"/>
      <c r="J19" t="s">
        <v>269</v>
      </c>
      <c r="L19" s="78">
        <f>-269.52</f>
        <v>-269.52</v>
      </c>
      <c r="N19" s="78"/>
      <c r="O19" s="78"/>
      <c r="P19" s="3"/>
      <c r="Q19" t="s">
        <v>270</v>
      </c>
    </row>
    <row r="20" spans="1:17" x14ac:dyDescent="0.25">
      <c r="C20" s="78"/>
      <c r="E20" s="78"/>
      <c r="F20" s="78"/>
      <c r="G20" s="78"/>
      <c r="H20" s="78"/>
      <c r="J20" t="s">
        <v>271</v>
      </c>
      <c r="M20" s="78"/>
      <c r="N20" s="78"/>
      <c r="P20" s="3"/>
    </row>
    <row r="21" spans="1:17" x14ac:dyDescent="0.25">
      <c r="C21" s="78"/>
      <c r="G21" s="78"/>
      <c r="J21" t="s">
        <v>272</v>
      </c>
      <c r="L21" s="78"/>
      <c r="M21" s="78"/>
      <c r="N21" s="78"/>
      <c r="P21" s="3"/>
    </row>
    <row r="22" spans="1:17" x14ac:dyDescent="0.25">
      <c r="C22" s="78"/>
      <c r="E22" s="78"/>
      <c r="F22" s="78"/>
      <c r="G22" s="78"/>
      <c r="H22" s="78"/>
      <c r="J22" t="s">
        <v>273</v>
      </c>
      <c r="M22" s="78"/>
      <c r="N22" s="78"/>
      <c r="P22" s="3"/>
    </row>
    <row r="23" spans="1:17" x14ac:dyDescent="0.25">
      <c r="A23" t="s">
        <v>274</v>
      </c>
      <c r="C23" s="78">
        <v>40000</v>
      </c>
      <c r="E23" s="78"/>
      <c r="F23" s="78"/>
      <c r="G23" s="78"/>
      <c r="H23" s="78"/>
      <c r="J23" t="s">
        <v>275</v>
      </c>
      <c r="L23" s="78">
        <v>-5425.45</v>
      </c>
      <c r="P23" s="3"/>
      <c r="Q23" s="101" t="s">
        <v>276</v>
      </c>
    </row>
    <row r="24" spans="1:17" x14ac:dyDescent="0.25">
      <c r="A24" t="s">
        <v>277</v>
      </c>
      <c r="C24" s="78">
        <v>5000</v>
      </c>
      <c r="E24" s="78"/>
      <c r="F24" s="78"/>
      <c r="G24" s="78"/>
      <c r="H24" s="78"/>
      <c r="J24" t="s">
        <v>275</v>
      </c>
      <c r="N24" s="78">
        <v>-3800.71</v>
      </c>
      <c r="P24" s="3"/>
      <c r="Q24" s="1" t="s">
        <v>278</v>
      </c>
    </row>
    <row r="25" spans="1:17" x14ac:dyDescent="0.25">
      <c r="A25" t="s">
        <v>279</v>
      </c>
      <c r="C25" s="78">
        <v>10000</v>
      </c>
      <c r="E25" s="78"/>
      <c r="F25" s="78"/>
      <c r="G25" s="78"/>
      <c r="H25" s="78"/>
      <c r="J25" t="s">
        <v>280</v>
      </c>
      <c r="M25" s="78"/>
      <c r="O25" s="78"/>
      <c r="P25" s="3"/>
    </row>
    <row r="26" spans="1:17" x14ac:dyDescent="0.25">
      <c r="A26" t="s">
        <v>281</v>
      </c>
      <c r="C26" s="78">
        <v>40000</v>
      </c>
      <c r="N26" s="78"/>
      <c r="O26" s="78"/>
      <c r="P26" s="3"/>
      <c r="Q26" s="1" t="s">
        <v>282</v>
      </c>
    </row>
    <row r="27" spans="1:17" x14ac:dyDescent="0.25">
      <c r="C27" s="78"/>
      <c r="J27" t="s">
        <v>283</v>
      </c>
      <c r="L27" s="78"/>
      <c r="O27" s="78">
        <v>-1680</v>
      </c>
      <c r="P27" s="99"/>
      <c r="Q27" t="s">
        <v>284</v>
      </c>
    </row>
    <row r="28" spans="1:17" x14ac:dyDescent="0.25">
      <c r="C28" s="78"/>
      <c r="J28" t="s">
        <v>285</v>
      </c>
      <c r="L28" s="78"/>
      <c r="M28" s="78"/>
      <c r="N28" s="78">
        <v>-1249.75</v>
      </c>
      <c r="O28" s="78"/>
      <c r="P28" s="3"/>
    </row>
    <row r="29" spans="1:17" x14ac:dyDescent="0.25">
      <c r="J29" t="s">
        <v>286</v>
      </c>
      <c r="N29" s="78">
        <f>-2565/2</f>
        <v>-1282.5</v>
      </c>
      <c r="O29" s="78">
        <f>-2565/2</f>
        <v>-1282.5</v>
      </c>
      <c r="P29" s="3"/>
    </row>
    <row r="30" spans="1:17" x14ac:dyDescent="0.25">
      <c r="A30" t="s">
        <v>161</v>
      </c>
      <c r="C30" s="78">
        <v>0</v>
      </c>
      <c r="F30" s="78"/>
      <c r="G30" s="78"/>
      <c r="H30" s="2"/>
      <c r="J30" t="s">
        <v>164</v>
      </c>
      <c r="L30" s="78"/>
      <c r="N30" s="78"/>
      <c r="O30" s="78"/>
      <c r="P30" s="3"/>
      <c r="Q30" t="s">
        <v>287</v>
      </c>
    </row>
    <row r="31" spans="1:17" x14ac:dyDescent="0.25">
      <c r="A31" t="s">
        <v>288</v>
      </c>
      <c r="C31" s="78">
        <v>0</v>
      </c>
      <c r="E31" s="2"/>
      <c r="F31" s="78"/>
      <c r="G31" s="78"/>
      <c r="H31" s="2"/>
      <c r="L31" s="78"/>
      <c r="M31" s="78"/>
      <c r="N31" s="78"/>
      <c r="O31" s="78"/>
      <c r="P31" s="3"/>
    </row>
    <row r="32" spans="1:17" x14ac:dyDescent="0.25">
      <c r="A32" t="s">
        <v>289</v>
      </c>
      <c r="C32" s="78">
        <v>0</v>
      </c>
      <c r="E32" s="78"/>
      <c r="F32" s="78"/>
      <c r="G32" s="78"/>
      <c r="H32" s="78"/>
      <c r="L32" s="78"/>
      <c r="M32" s="78"/>
      <c r="N32" s="78"/>
      <c r="O32" s="78"/>
    </row>
    <row r="33" spans="1:16" x14ac:dyDescent="0.25">
      <c r="C33" s="87">
        <f>SUM(C9:C32)</f>
        <v>162500</v>
      </c>
      <c r="E33" s="78"/>
      <c r="F33" s="78"/>
      <c r="G33" s="78"/>
      <c r="H33" s="78"/>
      <c r="L33" s="86">
        <f>SUM(L7:L32)</f>
        <v>-8195.89</v>
      </c>
      <c r="M33" s="86">
        <f>SUM(M7:M32)</f>
        <v>0</v>
      </c>
      <c r="N33" s="86">
        <f>SUM(N7:N32)</f>
        <v>-22709.45</v>
      </c>
      <c r="O33" s="86">
        <f>SUM(O7:O32)</f>
        <v>-2962.5</v>
      </c>
    </row>
    <row r="34" spans="1:16" x14ac:dyDescent="0.25">
      <c r="A34" s="1" t="s">
        <v>290</v>
      </c>
      <c r="C34" s="78"/>
      <c r="E34" s="78"/>
      <c r="F34" s="78"/>
      <c r="G34" s="78"/>
      <c r="H34" s="78"/>
      <c r="L34" s="78"/>
      <c r="M34" s="78"/>
      <c r="N34" s="78"/>
      <c r="O34" s="78"/>
    </row>
    <row r="35" spans="1:16" x14ac:dyDescent="0.25">
      <c r="A35" t="s">
        <v>291</v>
      </c>
      <c r="C35" s="78"/>
      <c r="E35" s="78"/>
      <c r="F35" s="78"/>
      <c r="H35" s="78">
        <v>-77000</v>
      </c>
      <c r="I35" t="s">
        <v>292</v>
      </c>
      <c r="J35" t="s">
        <v>293</v>
      </c>
      <c r="L35" s="78"/>
      <c r="M35" s="78"/>
      <c r="N35" s="78">
        <v>-681</v>
      </c>
      <c r="O35" s="78">
        <v>-36</v>
      </c>
    </row>
    <row r="36" spans="1:16" x14ac:dyDescent="0.25">
      <c r="A36" t="s">
        <v>294</v>
      </c>
      <c r="C36" s="78"/>
      <c r="E36" s="78"/>
      <c r="F36" s="78"/>
      <c r="G36" s="78">
        <v>-38138.29</v>
      </c>
      <c r="I36" t="s">
        <v>295</v>
      </c>
      <c r="L36" s="78"/>
      <c r="M36" s="78"/>
      <c r="N36" s="78"/>
      <c r="O36" s="78"/>
    </row>
    <row r="37" spans="1:16" x14ac:dyDescent="0.25">
      <c r="A37" t="s">
        <v>296</v>
      </c>
      <c r="C37" s="78"/>
      <c r="E37" s="78"/>
      <c r="F37" s="78">
        <v>-2158.9299999999998</v>
      </c>
      <c r="H37" s="78">
        <v>-2012</v>
      </c>
      <c r="J37" s="1" t="s">
        <v>297</v>
      </c>
      <c r="K37" s="1"/>
      <c r="L37" s="86">
        <f>L35+L33</f>
        <v>-8195.89</v>
      </c>
      <c r="M37" s="86">
        <f>M35+M33</f>
        <v>0</v>
      </c>
      <c r="N37" s="86">
        <f>N35+N33</f>
        <v>-23390.45</v>
      </c>
      <c r="O37" s="86">
        <f>O35+O33</f>
        <v>-2998.5</v>
      </c>
      <c r="P37" s="88">
        <f>SUM(L37:O37)</f>
        <v>-34584.839999999997</v>
      </c>
    </row>
    <row r="38" spans="1:16" x14ac:dyDescent="0.25">
      <c r="A38" t="s">
        <v>298</v>
      </c>
      <c r="C38" s="78"/>
      <c r="E38" s="78">
        <v>-15120</v>
      </c>
      <c r="F38" s="78"/>
      <c r="H38" s="78"/>
      <c r="J38" s="1"/>
      <c r="K38" s="1"/>
      <c r="L38" s="86"/>
      <c r="M38" s="86"/>
      <c r="N38" s="86"/>
      <c r="O38" s="86"/>
      <c r="P38" s="88"/>
    </row>
    <row r="39" spans="1:16" x14ac:dyDescent="0.25">
      <c r="A39" t="s">
        <v>299</v>
      </c>
      <c r="C39" s="78"/>
      <c r="E39" s="78">
        <f>L37</f>
        <v>-8195.89</v>
      </c>
      <c r="F39" s="78">
        <f>M37</f>
        <v>0</v>
      </c>
      <c r="G39" s="78">
        <f>N37</f>
        <v>-23390.45</v>
      </c>
      <c r="H39" s="78">
        <f>O37</f>
        <v>-2998.5</v>
      </c>
      <c r="I39" s="88">
        <f>SUM(E39:H39)</f>
        <v>-34584.839999999997</v>
      </c>
      <c r="L39" s="78"/>
      <c r="M39" s="78"/>
      <c r="N39" s="78"/>
      <c r="O39" s="78"/>
    </row>
    <row r="40" spans="1:16" x14ac:dyDescent="0.25">
      <c r="A40" s="1" t="s">
        <v>300</v>
      </c>
      <c r="C40" s="78"/>
      <c r="E40" s="89">
        <f>SUM(E35:E39)</f>
        <v>-23315.89</v>
      </c>
      <c r="F40" s="89">
        <f>SUM(F35:F39)</f>
        <v>-2158.9299999999998</v>
      </c>
      <c r="G40" s="89">
        <f>SUM(G35:G39)</f>
        <v>-61528.740000000005</v>
      </c>
      <c r="H40" s="89">
        <f>SUM(H35:H39)</f>
        <v>-82010.5</v>
      </c>
      <c r="I40" s="88">
        <f>SUM(E40:H40)</f>
        <v>-169014.06</v>
      </c>
      <c r="J40" t="s">
        <v>301</v>
      </c>
      <c r="L40" s="78"/>
      <c r="M40" s="78"/>
      <c r="N40" s="78"/>
      <c r="O40" s="78"/>
    </row>
    <row r="41" spans="1:16" x14ac:dyDescent="0.25">
      <c r="A41" s="104" t="s">
        <v>302</v>
      </c>
      <c r="C41" s="78"/>
      <c r="E41" s="103">
        <v>-59851</v>
      </c>
      <c r="F41" s="103">
        <v>-45125</v>
      </c>
      <c r="G41" s="103">
        <v>-41132</v>
      </c>
      <c r="H41" s="103">
        <v>-90805</v>
      </c>
      <c r="L41" s="78"/>
      <c r="M41" s="78"/>
      <c r="N41" s="78"/>
      <c r="O41" s="78"/>
    </row>
    <row r="42" spans="1:16" x14ac:dyDescent="0.25">
      <c r="A42" s="1" t="s">
        <v>303</v>
      </c>
      <c r="C42" s="78"/>
      <c r="E42" s="78">
        <f>SUM(E8:E33)+E40</f>
        <v>-23315.89</v>
      </c>
      <c r="F42" s="78">
        <f>SUM(F8:F33)+F40</f>
        <v>-2158.9299999999998</v>
      </c>
      <c r="G42" s="78">
        <f>SUM(G8:G33)+G40</f>
        <v>-61528.740000000005</v>
      </c>
      <c r="H42" s="78">
        <f>SUM(H8:H33)+H40</f>
        <v>-82010.5</v>
      </c>
      <c r="L42" s="78"/>
      <c r="M42" s="78"/>
      <c r="N42" s="78"/>
      <c r="O42" s="78"/>
    </row>
    <row r="43" spans="1:16" x14ac:dyDescent="0.25">
      <c r="C43" s="78"/>
      <c r="E43" s="78"/>
      <c r="F43" s="78"/>
      <c r="G43" s="78"/>
      <c r="H43" s="78"/>
      <c r="L43" s="78"/>
      <c r="M43" s="78"/>
      <c r="N43" s="78"/>
      <c r="O43" s="78"/>
    </row>
    <row r="44" spans="1:16" x14ac:dyDescent="0.25">
      <c r="A44" s="1" t="s">
        <v>304</v>
      </c>
      <c r="C44" s="78"/>
      <c r="E44" s="86" t="e">
        <f>E6+E42</f>
        <v>#REF!</v>
      </c>
      <c r="F44" s="86" t="e">
        <f>F6+F42</f>
        <v>#REF!</v>
      </c>
      <c r="G44" s="86" t="e">
        <f>G6+G42</f>
        <v>#REF!</v>
      </c>
      <c r="H44" s="86" t="e">
        <f>H6+H42</f>
        <v>#REF!</v>
      </c>
      <c r="L44" s="78"/>
      <c r="M44" s="78"/>
      <c r="N44" s="78"/>
      <c r="O44" s="78"/>
    </row>
    <row r="45" spans="1:16" x14ac:dyDescent="0.25">
      <c r="A45" t="s">
        <v>305</v>
      </c>
      <c r="C45" s="78"/>
      <c r="E45" s="78"/>
      <c r="F45" s="78"/>
      <c r="G45" s="78"/>
      <c r="H45" s="78"/>
      <c r="L45" s="78"/>
      <c r="M45" s="78"/>
      <c r="N45" s="78"/>
      <c r="O45" s="78"/>
    </row>
    <row r="46" spans="1:16" x14ac:dyDescent="0.25">
      <c r="C46" s="78"/>
      <c r="E46" s="78"/>
      <c r="F46" s="78"/>
      <c r="G46" s="78"/>
      <c r="H46" s="78"/>
      <c r="L46" s="78"/>
      <c r="M46" s="78"/>
      <c r="N46" s="78"/>
      <c r="O46" s="78"/>
    </row>
    <row r="47" spans="1:16" x14ac:dyDescent="0.25">
      <c r="A47" s="104" t="s">
        <v>306</v>
      </c>
      <c r="C47" s="78"/>
      <c r="E47" s="103">
        <f>E40-E41</f>
        <v>36535.11</v>
      </c>
      <c r="F47" s="103">
        <f>F40-F41</f>
        <v>42966.07</v>
      </c>
      <c r="G47" s="103">
        <f>G40-G41</f>
        <v>-20396.740000000005</v>
      </c>
      <c r="H47" s="103">
        <f>H40-H41</f>
        <v>8794.5</v>
      </c>
      <c r="L47" s="78"/>
      <c r="M47" s="78"/>
      <c r="N47" s="78"/>
      <c r="O47" s="78"/>
    </row>
    <row r="48" spans="1:16" x14ac:dyDescent="0.25">
      <c r="A48" s="85"/>
      <c r="B48" s="3"/>
      <c r="C48" s="5"/>
      <c r="D48" s="3"/>
      <c r="E48" s="98"/>
      <c r="F48" s="98"/>
      <c r="G48" s="98"/>
      <c r="H48" s="98"/>
      <c r="I48" s="3"/>
      <c r="L48" s="78"/>
      <c r="M48" s="78"/>
      <c r="N48" s="78"/>
      <c r="O48" s="78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L49" s="78"/>
      <c r="M49" s="78"/>
      <c r="N49" s="78"/>
      <c r="O49" s="78"/>
    </row>
    <row r="50" spans="1:15" x14ac:dyDescent="0.25">
      <c r="A50" s="1"/>
      <c r="C50" s="78"/>
      <c r="E50" s="86"/>
      <c r="F50" s="86"/>
      <c r="G50" s="86"/>
      <c r="H50" s="86"/>
      <c r="L50" s="78"/>
      <c r="M50" s="78"/>
      <c r="N50" s="78"/>
      <c r="O50" s="78"/>
    </row>
    <row r="51" spans="1:15" x14ac:dyDescent="0.25">
      <c r="C51" s="78"/>
      <c r="E51" s="78"/>
      <c r="F51" s="78"/>
      <c r="G51" s="78"/>
      <c r="H51" s="78"/>
    </row>
    <row r="52" spans="1:15" x14ac:dyDescent="0.25">
      <c r="A52" s="1"/>
      <c r="C52" s="78"/>
      <c r="E52" s="78"/>
      <c r="F52" s="78"/>
      <c r="G52" s="78"/>
      <c r="H52" s="78"/>
    </row>
    <row r="53" spans="1:15" x14ac:dyDescent="0.25">
      <c r="C53" s="78"/>
      <c r="E53" s="78"/>
      <c r="F53" s="78"/>
      <c r="G53" s="78"/>
      <c r="H53" s="78"/>
    </row>
    <row r="54" spans="1:15" x14ac:dyDescent="0.25">
      <c r="C54" s="78"/>
      <c r="E54" s="78"/>
      <c r="F54" s="78"/>
      <c r="G54" s="78"/>
      <c r="H54" s="78"/>
    </row>
    <row r="55" spans="1:15" x14ac:dyDescent="0.25">
      <c r="C55" s="78"/>
      <c r="E55" s="78"/>
      <c r="F55" s="78"/>
      <c r="G55" s="78"/>
      <c r="H55" s="78"/>
    </row>
    <row r="56" spans="1:15" x14ac:dyDescent="0.25">
      <c r="C56" s="78"/>
      <c r="E56" s="78"/>
      <c r="F56" s="78"/>
      <c r="G56" s="78"/>
      <c r="H56" s="78"/>
    </row>
    <row r="57" spans="1:15" x14ac:dyDescent="0.25">
      <c r="C57" s="78"/>
      <c r="E57" s="78"/>
      <c r="F57" s="78"/>
      <c r="G57" s="78"/>
      <c r="H57" s="78"/>
    </row>
    <row r="58" spans="1:15" x14ac:dyDescent="0.25">
      <c r="C58" s="78"/>
      <c r="E58" s="78"/>
      <c r="F58" s="78"/>
      <c r="G58" s="78"/>
      <c r="H58" s="78"/>
    </row>
    <row r="59" spans="1:15" x14ac:dyDescent="0.25">
      <c r="C59" s="78"/>
      <c r="E59" s="78"/>
      <c r="F59" s="78"/>
      <c r="G59" s="78"/>
      <c r="H59" s="78"/>
    </row>
    <row r="60" spans="1:15" x14ac:dyDescent="0.25">
      <c r="C60" s="78"/>
      <c r="E60" s="78"/>
      <c r="F60" s="78"/>
      <c r="G60" s="78"/>
      <c r="H60" s="78"/>
    </row>
    <row r="61" spans="1:15" x14ac:dyDescent="0.25">
      <c r="C61" s="78"/>
      <c r="F61" s="78"/>
      <c r="G61" s="78"/>
      <c r="H61" s="78"/>
    </row>
    <row r="62" spans="1:15" x14ac:dyDescent="0.25">
      <c r="C62" s="78"/>
      <c r="E62" s="78"/>
      <c r="F62" s="78"/>
      <c r="G62" s="78"/>
      <c r="H62" s="78"/>
    </row>
    <row r="63" spans="1:15" x14ac:dyDescent="0.25">
      <c r="C63" s="78"/>
      <c r="E63" s="78"/>
      <c r="F63" s="78"/>
      <c r="G63" s="78"/>
      <c r="H63" s="78"/>
    </row>
    <row r="64" spans="1:15" x14ac:dyDescent="0.25">
      <c r="C64" s="78"/>
      <c r="E64" s="78"/>
      <c r="F64" s="78"/>
      <c r="G64" s="78"/>
      <c r="H64" s="78"/>
    </row>
    <row r="65" spans="1:9" x14ac:dyDescent="0.25">
      <c r="C65" s="78"/>
      <c r="E65" s="78"/>
      <c r="F65" s="78"/>
      <c r="G65" s="78"/>
      <c r="H65" s="78"/>
    </row>
    <row r="66" spans="1:9" x14ac:dyDescent="0.25">
      <c r="C66" s="78"/>
      <c r="E66" s="78"/>
      <c r="F66" s="78"/>
      <c r="G66" s="78"/>
      <c r="H66" s="78"/>
    </row>
    <row r="67" spans="1:9" x14ac:dyDescent="0.25">
      <c r="C67" s="78"/>
    </row>
    <row r="68" spans="1:9" x14ac:dyDescent="0.25">
      <c r="C68" s="78"/>
    </row>
    <row r="69" spans="1:9" x14ac:dyDescent="0.25">
      <c r="C69" s="78"/>
      <c r="E69" s="78"/>
      <c r="F69" s="78"/>
      <c r="G69" s="78"/>
      <c r="H69" s="78"/>
    </row>
    <row r="70" spans="1:9" x14ac:dyDescent="0.25">
      <c r="C70" s="78"/>
    </row>
    <row r="71" spans="1:9" x14ac:dyDescent="0.25">
      <c r="C71" s="78"/>
      <c r="E71" s="78"/>
      <c r="F71" s="78"/>
      <c r="G71" s="78"/>
      <c r="H71" s="78"/>
    </row>
    <row r="72" spans="1:9" x14ac:dyDescent="0.25">
      <c r="C72" s="78"/>
      <c r="E72" s="78"/>
      <c r="F72" s="78"/>
      <c r="G72" s="78"/>
      <c r="H72" s="78"/>
    </row>
    <row r="73" spans="1:9" x14ac:dyDescent="0.25">
      <c r="C73" s="87"/>
      <c r="E73" s="78"/>
      <c r="F73" s="78"/>
      <c r="G73" s="78"/>
      <c r="H73" s="78"/>
    </row>
    <row r="74" spans="1:9" x14ac:dyDescent="0.25">
      <c r="A74" s="1"/>
      <c r="C74" s="78"/>
      <c r="E74" s="78"/>
      <c r="F74" s="78"/>
      <c r="G74" s="78"/>
      <c r="H74" s="78"/>
    </row>
    <row r="75" spans="1:9" x14ac:dyDescent="0.25">
      <c r="C75" s="78"/>
      <c r="E75" s="78"/>
      <c r="F75" s="78"/>
      <c r="G75" s="78"/>
      <c r="H75" s="78"/>
    </row>
    <row r="76" spans="1:9" x14ac:dyDescent="0.25">
      <c r="C76" s="78"/>
      <c r="E76" s="78"/>
      <c r="F76" s="78"/>
      <c r="G76" s="78"/>
      <c r="H76" s="78"/>
    </row>
    <row r="77" spans="1:9" x14ac:dyDescent="0.25">
      <c r="C77" s="78"/>
      <c r="E77" s="78"/>
      <c r="F77" s="78"/>
      <c r="G77" s="78"/>
      <c r="H77" s="78"/>
    </row>
    <row r="78" spans="1:9" x14ac:dyDescent="0.25">
      <c r="C78" s="78"/>
      <c r="E78" s="78"/>
      <c r="F78" s="78"/>
      <c r="G78" s="78"/>
      <c r="H78" s="78"/>
      <c r="I78" s="88"/>
    </row>
    <row r="79" spans="1:9" x14ac:dyDescent="0.25">
      <c r="A79" s="1"/>
      <c r="C79" s="78"/>
      <c r="E79" s="89"/>
      <c r="F79" s="89"/>
      <c r="G79" s="89"/>
      <c r="H79" s="89"/>
      <c r="I79" s="88"/>
    </row>
    <row r="80" spans="1:9" x14ac:dyDescent="0.25">
      <c r="C80" s="78"/>
      <c r="E80" s="78"/>
      <c r="F80" s="78"/>
      <c r="G80" s="78"/>
      <c r="H80" s="78"/>
    </row>
    <row r="81" spans="1:8" x14ac:dyDescent="0.25">
      <c r="A81" s="1"/>
      <c r="C81" s="78"/>
      <c r="E81" s="78"/>
      <c r="F81" s="78"/>
      <c r="G81" s="78"/>
      <c r="H81" s="78"/>
    </row>
    <row r="82" spans="1:8" x14ac:dyDescent="0.25">
      <c r="C82" s="78"/>
      <c r="E82" s="78"/>
      <c r="F82" s="78"/>
      <c r="G82" s="78"/>
      <c r="H82" s="78"/>
    </row>
    <row r="83" spans="1:8" x14ac:dyDescent="0.25">
      <c r="A83" s="1"/>
      <c r="C83" s="78"/>
      <c r="E83" s="86"/>
      <c r="F83" s="86"/>
      <c r="G83" s="86"/>
      <c r="H83" s="86"/>
    </row>
  </sheetData>
  <pageMargins left="0.25" right="0.25" top="0.75" bottom="0.75" header="0.3" footer="0.3"/>
  <pageSetup paperSize="8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tabColor theme="1" tint="4.9989318521683403E-2"/>
    <pageSetUpPr fitToPage="1"/>
  </sheetPr>
  <dimension ref="A1:I65"/>
  <sheetViews>
    <sheetView topLeftCell="A10" zoomScale="85" zoomScaleNormal="85" workbookViewId="0">
      <selection activeCell="H22" sqref="H22"/>
    </sheetView>
  </sheetViews>
  <sheetFormatPr defaultColWidth="9.140625" defaultRowHeight="12.75" x14ac:dyDescent="0.2"/>
  <cols>
    <col min="1" max="1" width="44" style="51" customWidth="1"/>
    <col min="2" max="2" width="9.5703125" style="51" customWidth="1"/>
    <col min="3" max="3" width="11.85546875" style="53" customWidth="1"/>
    <col min="4" max="4" width="13.140625" style="53" customWidth="1"/>
    <col min="5" max="6" width="11.85546875" style="53" customWidth="1"/>
    <col min="7" max="7" width="9.140625" style="54"/>
    <col min="8" max="8" width="49.7109375" style="51" bestFit="1" customWidth="1"/>
    <col min="9" max="9" width="47.28515625" style="51" bestFit="1" customWidth="1"/>
    <col min="10" max="16384" width="9.140625" style="51"/>
  </cols>
  <sheetData>
    <row r="1" spans="1:9" x14ac:dyDescent="0.2">
      <c r="A1" s="50" t="s">
        <v>142</v>
      </c>
      <c r="C1" s="52" t="s">
        <v>60</v>
      </c>
    </row>
    <row r="2" spans="1:9" x14ac:dyDescent="0.2">
      <c r="A2" s="55" t="s">
        <v>307</v>
      </c>
    </row>
    <row r="3" spans="1:9" x14ac:dyDescent="0.2">
      <c r="A3" s="55"/>
    </row>
    <row r="4" spans="1:9" ht="25.5" x14ac:dyDescent="0.2">
      <c r="A4" s="56" t="s">
        <v>308</v>
      </c>
      <c r="B4" s="57" t="s">
        <v>145</v>
      </c>
      <c r="C4" s="58">
        <f>'Mar 18'!C50</f>
        <v>74160.34</v>
      </c>
      <c r="D4" s="58" t="e">
        <f>'Mar 18'!D50</f>
        <v>#REF!</v>
      </c>
      <c r="E4" s="58" t="e">
        <f>'Mar 18'!E50</f>
        <v>#REF!</v>
      </c>
      <c r="F4" s="58" t="e">
        <f>'Mar 18'!F50</f>
        <v>#REF!</v>
      </c>
    </row>
    <row r="6" spans="1:9" ht="15" x14ac:dyDescent="0.25">
      <c r="A6" s="50" t="s">
        <v>146</v>
      </c>
      <c r="B6" s="50"/>
      <c r="C6" s="52" t="s">
        <v>108</v>
      </c>
      <c r="D6" s="4" t="s">
        <v>109</v>
      </c>
      <c r="E6" s="52" t="s">
        <v>147</v>
      </c>
      <c r="F6" s="52" t="s">
        <v>148</v>
      </c>
      <c r="G6" s="59" t="s">
        <v>149</v>
      </c>
      <c r="H6" s="50" t="s">
        <v>150</v>
      </c>
      <c r="I6" s="79" t="s">
        <v>151</v>
      </c>
    </row>
    <row r="7" spans="1:9" x14ac:dyDescent="0.2">
      <c r="C7" s="60"/>
      <c r="D7" s="60"/>
      <c r="E7" s="60"/>
      <c r="F7" s="60"/>
    </row>
    <row r="8" spans="1:9" x14ac:dyDescent="0.2">
      <c r="A8" s="50" t="s">
        <v>56</v>
      </c>
      <c r="B8" s="50"/>
      <c r="C8" s="60"/>
    </row>
    <row r="9" spans="1:9" x14ac:dyDescent="0.2">
      <c r="A9" s="96" t="s">
        <v>309</v>
      </c>
      <c r="B9" s="51" t="s">
        <v>17</v>
      </c>
      <c r="C9" s="60">
        <f>56250</f>
        <v>56250</v>
      </c>
      <c r="D9" s="53">
        <f t="shared" ref="D9:F11" si="0">C9</f>
        <v>56250</v>
      </c>
      <c r="E9" s="53">
        <f t="shared" si="0"/>
        <v>56250</v>
      </c>
      <c r="F9" s="53">
        <f t="shared" si="0"/>
        <v>56250</v>
      </c>
      <c r="G9" s="54" t="s">
        <v>204</v>
      </c>
      <c r="H9" s="51" t="s">
        <v>310</v>
      </c>
      <c r="I9" s="66"/>
    </row>
    <row r="10" spans="1:9" x14ac:dyDescent="0.2">
      <c r="A10" s="96" t="s">
        <v>311</v>
      </c>
      <c r="B10" s="51" t="s">
        <v>17</v>
      </c>
      <c r="C10" s="60">
        <v>15000</v>
      </c>
      <c r="D10" s="53">
        <f t="shared" si="0"/>
        <v>15000</v>
      </c>
      <c r="E10" s="60">
        <f t="shared" si="0"/>
        <v>15000</v>
      </c>
      <c r="F10" s="53">
        <f t="shared" si="0"/>
        <v>15000</v>
      </c>
      <c r="G10" s="54" t="s">
        <v>204</v>
      </c>
      <c r="H10" s="51" t="s">
        <v>312</v>
      </c>
      <c r="I10" s="66"/>
    </row>
    <row r="11" spans="1:9" x14ac:dyDescent="0.2">
      <c r="A11" s="96" t="s">
        <v>313</v>
      </c>
      <c r="B11" s="51" t="s">
        <v>156</v>
      </c>
      <c r="C11" s="60">
        <v>6250</v>
      </c>
      <c r="D11" s="53">
        <f t="shared" si="0"/>
        <v>6250</v>
      </c>
      <c r="E11" s="60">
        <f t="shared" si="0"/>
        <v>6250</v>
      </c>
      <c r="F11" s="53">
        <f t="shared" si="0"/>
        <v>6250</v>
      </c>
      <c r="G11" s="54" t="s">
        <v>204</v>
      </c>
      <c r="H11" s="51" t="s">
        <v>314</v>
      </c>
      <c r="I11" s="66"/>
    </row>
    <row r="12" spans="1:9" x14ac:dyDescent="0.2">
      <c r="A12" s="73" t="s">
        <v>315</v>
      </c>
      <c r="B12" s="51" t="s">
        <v>156</v>
      </c>
      <c r="C12" s="60">
        <v>5000</v>
      </c>
      <c r="D12" s="60">
        <v>5000</v>
      </c>
      <c r="E12" s="60">
        <f>D12</f>
        <v>5000</v>
      </c>
      <c r="F12" s="53">
        <f>E12</f>
        <v>5000</v>
      </c>
      <c r="G12" s="54" t="s">
        <v>204</v>
      </c>
      <c r="H12" s="51" t="s">
        <v>316</v>
      </c>
      <c r="I12" s="66"/>
    </row>
    <row r="13" spans="1:9" x14ac:dyDescent="0.2">
      <c r="A13" s="49"/>
      <c r="C13" s="60"/>
      <c r="E13" s="60"/>
      <c r="F13" s="60"/>
    </row>
    <row r="14" spans="1:9" x14ac:dyDescent="0.2">
      <c r="A14" s="49"/>
      <c r="C14" s="60"/>
      <c r="E14" s="60"/>
      <c r="F14" s="60"/>
    </row>
    <row r="15" spans="1:9" x14ac:dyDescent="0.2">
      <c r="A15" s="49"/>
      <c r="C15" s="60"/>
      <c r="E15" s="60"/>
      <c r="F15" s="60"/>
    </row>
    <row r="16" spans="1:9" x14ac:dyDescent="0.2">
      <c r="A16" s="50" t="s">
        <v>57</v>
      </c>
      <c r="C16" s="60"/>
      <c r="D16" s="60"/>
      <c r="E16" s="60"/>
      <c r="F16" s="60"/>
    </row>
    <row r="17" spans="1:9" x14ac:dyDescent="0.2">
      <c r="A17" s="95" t="s">
        <v>317</v>
      </c>
      <c r="B17" s="51" t="s">
        <v>18</v>
      </c>
      <c r="C17" s="60" t="e">
        <f>D17</f>
        <v>#REF!</v>
      </c>
      <c r="D17" s="60" t="e">
        <f>SUM(#REF!)</f>
        <v>#REF!</v>
      </c>
      <c r="E17" s="60" t="e">
        <f>D17</f>
        <v>#REF!</v>
      </c>
      <c r="F17" s="60" t="e">
        <f>E17</f>
        <v>#REF!</v>
      </c>
    </row>
    <row r="18" spans="1:9" x14ac:dyDescent="0.2">
      <c r="A18" s="95" t="s">
        <v>222</v>
      </c>
      <c r="B18" s="51" t="s">
        <v>18</v>
      </c>
      <c r="C18" s="60">
        <v>1000</v>
      </c>
      <c r="D18" s="53">
        <v>1000</v>
      </c>
      <c r="E18" s="53">
        <v>1000</v>
      </c>
      <c r="F18" s="53">
        <v>1000</v>
      </c>
      <c r="H18" s="51" t="s">
        <v>318</v>
      </c>
    </row>
    <row r="19" spans="1:9" ht="12" customHeight="1" x14ac:dyDescent="0.2">
      <c r="C19" s="60"/>
    </row>
    <row r="20" spans="1:9" ht="12" customHeight="1" x14ac:dyDescent="0.2">
      <c r="C20" s="60"/>
    </row>
    <row r="21" spans="1:9" x14ac:dyDescent="0.2">
      <c r="A21" s="50" t="s">
        <v>58</v>
      </c>
      <c r="B21" s="50"/>
      <c r="C21" s="60"/>
    </row>
    <row r="22" spans="1:9" x14ac:dyDescent="0.2">
      <c r="A22" s="48" t="s">
        <v>86</v>
      </c>
      <c r="B22" s="49" t="s">
        <v>17</v>
      </c>
      <c r="C22" s="60">
        <v>29431</v>
      </c>
      <c r="D22" s="53">
        <f>C22</f>
        <v>29431</v>
      </c>
      <c r="E22" s="60">
        <f>D22</f>
        <v>29431</v>
      </c>
      <c r="F22" s="60">
        <v>29431</v>
      </c>
      <c r="G22" s="54" t="s">
        <v>319</v>
      </c>
      <c r="H22" s="51" t="s">
        <v>320</v>
      </c>
      <c r="I22" s="66"/>
    </row>
    <row r="23" spans="1:9" x14ac:dyDescent="0.2">
      <c r="C23" s="60"/>
      <c r="I23" s="66"/>
    </row>
    <row r="25" spans="1:9" x14ac:dyDescent="0.2">
      <c r="C25" s="60"/>
      <c r="D25" s="60"/>
      <c r="E25" s="60"/>
      <c r="F25" s="60"/>
    </row>
    <row r="26" spans="1:9" x14ac:dyDescent="0.2">
      <c r="A26" s="50" t="s">
        <v>157</v>
      </c>
      <c r="B26" s="50"/>
      <c r="C26" s="60"/>
      <c r="D26" s="60"/>
      <c r="E26" s="60"/>
      <c r="F26" s="60"/>
    </row>
    <row r="27" spans="1:9" x14ac:dyDescent="0.2">
      <c r="A27" s="48" t="s">
        <v>321</v>
      </c>
      <c r="B27" s="51" t="s">
        <v>17</v>
      </c>
      <c r="C27" s="60">
        <v>7500</v>
      </c>
      <c r="D27" s="60">
        <v>7500</v>
      </c>
      <c r="E27" s="60">
        <v>7500</v>
      </c>
      <c r="F27" s="60">
        <v>7500</v>
      </c>
      <c r="G27" s="54" t="s">
        <v>322</v>
      </c>
      <c r="H27" s="51" t="s">
        <v>323</v>
      </c>
    </row>
    <row r="32" spans="1:9" x14ac:dyDescent="0.2">
      <c r="C32" s="60"/>
    </row>
    <row r="33" spans="1:8" x14ac:dyDescent="0.2">
      <c r="A33" s="50" t="s">
        <v>133</v>
      </c>
      <c r="C33" s="51"/>
      <c r="D33" s="51"/>
      <c r="E33" s="51"/>
      <c r="F33" s="51"/>
      <c r="G33" s="51"/>
    </row>
    <row r="34" spans="1:8" x14ac:dyDescent="0.2">
      <c r="A34" s="48" t="s">
        <v>235</v>
      </c>
      <c r="B34" s="49" t="s">
        <v>18</v>
      </c>
      <c r="C34" s="60">
        <v>5</v>
      </c>
      <c r="D34" s="60">
        <f t="shared" ref="D34:F36" si="1">C34</f>
        <v>5</v>
      </c>
      <c r="E34" s="60">
        <f t="shared" si="1"/>
        <v>5</v>
      </c>
      <c r="F34" s="60">
        <f t="shared" si="1"/>
        <v>5</v>
      </c>
    </row>
    <row r="35" spans="1:8" x14ac:dyDescent="0.2">
      <c r="A35" s="48" t="s">
        <v>152</v>
      </c>
      <c r="B35" s="49" t="s">
        <v>18</v>
      </c>
      <c r="C35" s="60">
        <v>225</v>
      </c>
      <c r="D35" s="60">
        <f>C35</f>
        <v>225</v>
      </c>
      <c r="E35" s="60">
        <f>D35</f>
        <v>225</v>
      </c>
      <c r="F35" s="60">
        <f>E35</f>
        <v>225</v>
      </c>
    </row>
    <row r="36" spans="1:8" x14ac:dyDescent="0.2">
      <c r="A36" s="48" t="s">
        <v>324</v>
      </c>
      <c r="B36" s="49" t="s">
        <v>18</v>
      </c>
      <c r="C36" s="60">
        <v>302.39999999999998</v>
      </c>
      <c r="D36" s="60">
        <f t="shared" si="1"/>
        <v>302.39999999999998</v>
      </c>
      <c r="E36" s="60">
        <f t="shared" si="1"/>
        <v>302.39999999999998</v>
      </c>
      <c r="F36" s="60">
        <f t="shared" si="1"/>
        <v>302.39999999999998</v>
      </c>
    </row>
    <row r="37" spans="1:8" x14ac:dyDescent="0.2">
      <c r="C37" s="60"/>
      <c r="E37" s="60"/>
      <c r="F37" s="60"/>
    </row>
    <row r="38" spans="1:8" x14ac:dyDescent="0.2">
      <c r="A38" s="50" t="s">
        <v>168</v>
      </c>
      <c r="B38" s="50"/>
      <c r="C38" s="61" t="e">
        <f>SUM(C7:C37)</f>
        <v>#REF!</v>
      </c>
      <c r="D38" s="61" t="e">
        <f>SUM(D7:D37)</f>
        <v>#REF!</v>
      </c>
      <c r="E38" s="61" t="e">
        <f>SUM(E7:E37)</f>
        <v>#REF!</v>
      </c>
      <c r="F38" s="61" t="e">
        <f>SUM(F7:F37)</f>
        <v>#REF!</v>
      </c>
      <c r="H38" s="81"/>
    </row>
    <row r="39" spans="1:8" x14ac:dyDescent="0.2">
      <c r="C39" s="60"/>
      <c r="D39" s="60"/>
      <c r="E39" s="60"/>
      <c r="F39" s="60"/>
    </row>
    <row r="40" spans="1:8" x14ac:dyDescent="0.2">
      <c r="A40" s="62"/>
      <c r="B40" s="62"/>
      <c r="C40" s="63"/>
      <c r="D40" s="63"/>
      <c r="E40" s="64"/>
      <c r="F40" s="64"/>
      <c r="G40" s="65"/>
      <c r="H40" s="62"/>
    </row>
    <row r="41" spans="1:8" x14ac:dyDescent="0.2">
      <c r="A41" s="50" t="s">
        <v>169</v>
      </c>
      <c r="B41" s="50"/>
      <c r="C41" s="60"/>
      <c r="D41" s="60"/>
      <c r="E41" s="61"/>
      <c r="F41" s="61"/>
    </row>
    <row r="42" spans="1:8" x14ac:dyDescent="0.2">
      <c r="A42" s="51" t="s">
        <v>325</v>
      </c>
      <c r="C42" s="60" t="e">
        <f>'Cash flow proforma 20-21'!#REF!+'Cash flow proforma 20-21'!#REF!</f>
        <v>#REF!</v>
      </c>
      <c r="D42" s="60" t="e">
        <f t="shared" ref="D42:F45" si="2">C42</f>
        <v>#REF!</v>
      </c>
      <c r="E42" s="60" t="e">
        <f t="shared" si="2"/>
        <v>#REF!</v>
      </c>
      <c r="F42" s="60" t="e">
        <f t="shared" si="2"/>
        <v>#REF!</v>
      </c>
    </row>
    <row r="43" spans="1:8" x14ac:dyDescent="0.2">
      <c r="A43" s="51" t="s">
        <v>326</v>
      </c>
      <c r="C43" s="60" t="e">
        <f>'Cash flow proforma 20-21'!#REF!</f>
        <v>#REF!</v>
      </c>
      <c r="D43" s="60" t="e">
        <f t="shared" si="2"/>
        <v>#REF!</v>
      </c>
      <c r="E43" s="60" t="e">
        <f t="shared" si="2"/>
        <v>#REF!</v>
      </c>
      <c r="F43" s="60" t="e">
        <f t="shared" si="2"/>
        <v>#REF!</v>
      </c>
      <c r="H43" s="51" t="s">
        <v>327</v>
      </c>
    </row>
    <row r="44" spans="1:8" x14ac:dyDescent="0.2">
      <c r="A44" s="51" t="s">
        <v>328</v>
      </c>
      <c r="C44" s="60" t="e">
        <f>'Cash flow proforma 20-21'!#REF!</f>
        <v>#REF!</v>
      </c>
      <c r="D44" s="60" t="e">
        <f t="shared" si="2"/>
        <v>#REF!</v>
      </c>
      <c r="E44" s="60" t="e">
        <f t="shared" si="2"/>
        <v>#REF!</v>
      </c>
      <c r="F44" s="60" t="e">
        <f t="shared" si="2"/>
        <v>#REF!</v>
      </c>
    </row>
    <row r="45" spans="1:8" x14ac:dyDescent="0.2">
      <c r="A45" s="51" t="s">
        <v>329</v>
      </c>
      <c r="C45" s="60" t="e">
        <f>'Cash flow proforma 20-21'!#REF!-C47</f>
        <v>#REF!</v>
      </c>
      <c r="D45" s="60" t="e">
        <f t="shared" si="2"/>
        <v>#REF!</v>
      </c>
      <c r="E45" s="60" t="e">
        <f t="shared" si="2"/>
        <v>#REF!</v>
      </c>
      <c r="F45" s="60" t="e">
        <f t="shared" si="2"/>
        <v>#REF!</v>
      </c>
    </row>
    <row r="46" spans="1:8" x14ac:dyDescent="0.2">
      <c r="A46" s="125" t="s">
        <v>330</v>
      </c>
      <c r="C46" s="60"/>
      <c r="D46" s="60">
        <f>C46</f>
        <v>0</v>
      </c>
      <c r="E46" s="60">
        <f>D46</f>
        <v>0</v>
      </c>
      <c r="F46" s="60">
        <f>E46</f>
        <v>0</v>
      </c>
    </row>
    <row r="47" spans="1:8" x14ac:dyDescent="0.2">
      <c r="A47" s="125" t="s">
        <v>331</v>
      </c>
      <c r="C47" s="130">
        <v>-20000</v>
      </c>
      <c r="D47" s="130">
        <v>-20000</v>
      </c>
      <c r="E47" s="130">
        <v>-20000</v>
      </c>
      <c r="F47" s="130">
        <v>-20000</v>
      </c>
    </row>
    <row r="48" spans="1:8" x14ac:dyDescent="0.2">
      <c r="C48" s="60"/>
      <c r="D48" s="60"/>
      <c r="E48" s="60"/>
      <c r="F48" s="60"/>
    </row>
    <row r="49" spans="1:9" x14ac:dyDescent="0.2">
      <c r="A49" s="50" t="s">
        <v>183</v>
      </c>
      <c r="B49" s="50"/>
      <c r="C49" s="61" t="e">
        <f>SUM(C42:C48)</f>
        <v>#REF!</v>
      </c>
      <c r="D49" s="61" t="e">
        <f>SUM(D42:D48)</f>
        <v>#REF!</v>
      </c>
      <c r="E49" s="61" t="e">
        <f>SUM(E42:E48)</f>
        <v>#REF!</v>
      </c>
      <c r="F49" s="61" t="e">
        <f>SUM(F42:F48)</f>
        <v>#REF!</v>
      </c>
    </row>
    <row r="50" spans="1:9" x14ac:dyDescent="0.2">
      <c r="A50" s="50"/>
      <c r="B50" s="50"/>
      <c r="C50" s="61"/>
      <c r="D50" s="61"/>
      <c r="E50" s="61"/>
      <c r="F50" s="61"/>
    </row>
    <row r="51" spans="1:9" x14ac:dyDescent="0.2">
      <c r="A51" s="50"/>
      <c r="B51" s="50"/>
      <c r="C51" s="61"/>
      <c r="D51" s="61"/>
      <c r="E51" s="61"/>
      <c r="F51" s="61"/>
    </row>
    <row r="52" spans="1:9" x14ac:dyDescent="0.2">
      <c r="A52" s="66" t="s">
        <v>184</v>
      </c>
      <c r="B52" s="66"/>
      <c r="C52" s="67" t="e">
        <f>C38+C49</f>
        <v>#REF!</v>
      </c>
      <c r="D52" s="67" t="e">
        <f>D38+D49</f>
        <v>#REF!</v>
      </c>
      <c r="E52" s="67" t="e">
        <f>E38+E49</f>
        <v>#REF!</v>
      </c>
      <c r="F52" s="67" t="e">
        <f>F38+F49</f>
        <v>#REF!</v>
      </c>
    </row>
    <row r="54" spans="1:9" x14ac:dyDescent="0.2">
      <c r="A54" s="68" t="s">
        <v>332</v>
      </c>
      <c r="B54" s="68"/>
      <c r="C54" s="69" t="e">
        <f>C4+C38+C49</f>
        <v>#REF!</v>
      </c>
      <c r="D54" s="69" t="e">
        <f>D4+D38+D49</f>
        <v>#REF!</v>
      </c>
      <c r="E54" s="69" t="e">
        <f>E4+E38+E49</f>
        <v>#REF!</v>
      </c>
      <c r="F54" s="69" t="e">
        <f>F4+F38+F49</f>
        <v>#REF!</v>
      </c>
      <c r="I54" s="70"/>
    </row>
    <row r="55" spans="1:9" s="121" customFormat="1" x14ac:dyDescent="0.2">
      <c r="A55" s="121" t="s">
        <v>333</v>
      </c>
      <c r="C55" s="122"/>
      <c r="D55" s="122"/>
      <c r="E55" s="122"/>
      <c r="F55" s="122">
        <v>17770.96</v>
      </c>
      <c r="G55" s="123"/>
      <c r="H55" s="121" t="s">
        <v>334</v>
      </c>
    </row>
    <row r="56" spans="1:9" s="53" customFormat="1" ht="13.5" thickBot="1" x14ac:dyDescent="0.25">
      <c r="A56" s="51"/>
      <c r="B56" s="51"/>
      <c r="G56" s="54"/>
      <c r="H56" s="51"/>
      <c r="I56" s="51"/>
    </row>
    <row r="57" spans="1:9" s="53" customFormat="1" ht="13.5" thickBot="1" x14ac:dyDescent="0.25">
      <c r="A57" s="71" t="s">
        <v>186</v>
      </c>
      <c r="B57" s="71"/>
      <c r="C57" s="71"/>
      <c r="E57" s="60"/>
      <c r="G57" s="54"/>
      <c r="H57" s="51"/>
      <c r="I57" s="51"/>
    </row>
    <row r="58" spans="1:9" s="53" customFormat="1" x14ac:dyDescent="0.2">
      <c r="A58" s="51" t="s">
        <v>187</v>
      </c>
      <c r="B58" s="51"/>
      <c r="E58" s="60"/>
      <c r="G58" s="54"/>
      <c r="H58" s="51"/>
      <c r="I58" s="51"/>
    </row>
    <row r="59" spans="1:9" s="53" customFormat="1" x14ac:dyDescent="0.2">
      <c r="A59" s="51" t="s">
        <v>188</v>
      </c>
      <c r="B59" s="51"/>
      <c r="E59" s="60"/>
      <c r="G59" s="54"/>
      <c r="H59" s="51"/>
      <c r="I59" s="51"/>
    </row>
    <row r="60" spans="1:9" s="53" customFormat="1" x14ac:dyDescent="0.2">
      <c r="A60" s="51" t="s">
        <v>189</v>
      </c>
      <c r="B60" s="51"/>
      <c r="E60" s="60"/>
      <c r="G60" s="54"/>
      <c r="H60" s="51"/>
      <c r="I60" s="51"/>
    </row>
    <row r="61" spans="1:9" s="53" customFormat="1" x14ac:dyDescent="0.2">
      <c r="A61" s="51" t="s">
        <v>190</v>
      </c>
      <c r="B61" s="51"/>
      <c r="E61" s="60"/>
      <c r="G61" s="54"/>
      <c r="H61" s="51"/>
      <c r="I61" s="51"/>
    </row>
    <row r="62" spans="1:9" s="53" customFormat="1" x14ac:dyDescent="0.2">
      <c r="A62" s="72" t="s">
        <v>191</v>
      </c>
      <c r="B62" s="51"/>
      <c r="G62" s="54"/>
      <c r="H62" s="51"/>
      <c r="I62" s="51"/>
    </row>
    <row r="63" spans="1:9" s="53" customFormat="1" x14ac:dyDescent="0.2">
      <c r="A63" s="73" t="s">
        <v>192</v>
      </c>
      <c r="B63" s="51"/>
      <c r="G63" s="54"/>
      <c r="H63" s="51"/>
      <c r="I63" s="51"/>
    </row>
    <row r="64" spans="1:9" s="53" customFormat="1" x14ac:dyDescent="0.2">
      <c r="A64" s="74" t="s">
        <v>193</v>
      </c>
      <c r="B64" s="51"/>
      <c r="G64" s="54"/>
      <c r="H64" s="51"/>
      <c r="I64" s="51"/>
    </row>
    <row r="65" spans="1:9" s="53" customFormat="1" x14ac:dyDescent="0.2">
      <c r="A65" s="51"/>
      <c r="B65" s="50"/>
      <c r="C65" s="50"/>
      <c r="G65" s="54"/>
      <c r="H65" s="51"/>
      <c r="I65" s="51"/>
    </row>
  </sheetData>
  <pageMargins left="0.7" right="0.7" top="0.75" bottom="0.75" header="0.3" footer="0.3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tabColor rgb="FFFF0000"/>
    <pageSetUpPr fitToPage="1"/>
  </sheetPr>
  <dimension ref="A1:W84"/>
  <sheetViews>
    <sheetView zoomScale="80" zoomScaleNormal="80" workbookViewId="0">
      <pane xSplit="4" ySplit="6" topLeftCell="E28" activePane="bottomRight" state="frozen"/>
      <selection pane="topRight" activeCell="A11" sqref="A11"/>
      <selection pane="bottomLeft" activeCell="A11" sqref="A11"/>
      <selection pane="bottomRight" activeCell="M43" sqref="M43"/>
    </sheetView>
  </sheetViews>
  <sheetFormatPr defaultRowHeight="15" x14ac:dyDescent="0.25"/>
  <cols>
    <col min="1" max="1" width="35.7109375" bestFit="1" customWidth="1"/>
    <col min="2" max="2" width="1" customWidth="1"/>
    <col min="3" max="3" width="8.7109375" customWidth="1"/>
    <col min="4" max="4" width="1" customWidth="1"/>
    <col min="5" max="6" width="8.7109375" customWidth="1"/>
    <col min="7" max="8" width="9.5703125" bestFit="1" customWidth="1"/>
    <col min="9" max="9" width="67.140625" bestFit="1" customWidth="1"/>
    <col min="10" max="10" width="28.85546875" bestFit="1" customWidth="1"/>
    <col min="11" max="11" width="1" customWidth="1"/>
    <col min="13" max="13" width="11.28515625" bestFit="1" customWidth="1"/>
    <col min="16" max="16" width="9.85546875" bestFit="1" customWidth="1"/>
  </cols>
  <sheetData>
    <row r="1" spans="1:23" x14ac:dyDescent="0.25">
      <c r="A1" s="1" t="s">
        <v>0</v>
      </c>
    </row>
    <row r="2" spans="1:23" x14ac:dyDescent="0.25">
      <c r="A2" t="s">
        <v>243</v>
      </c>
    </row>
    <row r="3" spans="1:23" x14ac:dyDescent="0.25">
      <c r="A3" s="37" t="str">
        <f>'Mar 18'!A2</f>
        <v>Last updated: 6th April 2018</v>
      </c>
    </row>
    <row r="4" spans="1:23" s="3" customFormat="1" x14ac:dyDescent="0.25">
      <c r="A4" s="85"/>
      <c r="C4" s="5"/>
      <c r="E4" s="98" t="s">
        <v>335</v>
      </c>
      <c r="F4" s="98" t="s">
        <v>336</v>
      </c>
      <c r="G4" s="98" t="s">
        <v>337</v>
      </c>
      <c r="H4" s="98" t="s">
        <v>338</v>
      </c>
      <c r="J4" s="85" t="s">
        <v>244</v>
      </c>
      <c r="L4" s="98" t="s">
        <v>335</v>
      </c>
      <c r="M4" s="98" t="s">
        <v>336</v>
      </c>
      <c r="N4" s="98" t="s">
        <v>337</v>
      </c>
      <c r="O4" s="98" t="s">
        <v>338</v>
      </c>
      <c r="P4" s="5" t="s">
        <v>245</v>
      </c>
    </row>
    <row r="5" spans="1:23" s="3" customFormat="1" ht="12.75" customHeight="1" x14ac:dyDescent="0.25">
      <c r="E5" s="110" t="s">
        <v>339</v>
      </c>
      <c r="F5" s="110" t="s">
        <v>340</v>
      </c>
      <c r="G5" s="110" t="s">
        <v>341</v>
      </c>
      <c r="H5" s="110" t="s">
        <v>342</v>
      </c>
      <c r="L5" s="110" t="s">
        <v>339</v>
      </c>
      <c r="M5" s="110" t="s">
        <v>340</v>
      </c>
      <c r="N5" s="110" t="s">
        <v>341</v>
      </c>
      <c r="O5" s="110" t="s">
        <v>342</v>
      </c>
    </row>
    <row r="6" spans="1:23" x14ac:dyDescent="0.25">
      <c r="A6" s="1" t="s">
        <v>250</v>
      </c>
      <c r="C6" s="78"/>
      <c r="E6" s="86">
        <f>'Feb Zoom'!I44</f>
        <v>22141.220000000016</v>
      </c>
      <c r="F6" s="86">
        <f>E45</f>
        <v>3550.6900000000132</v>
      </c>
      <c r="G6" s="86">
        <f>F45</f>
        <v>4297.9200000000137</v>
      </c>
      <c r="H6" s="86" t="e">
        <f>G45</f>
        <v>#REF!</v>
      </c>
      <c r="J6" s="1" t="s">
        <v>251</v>
      </c>
    </row>
    <row r="7" spans="1:23" x14ac:dyDescent="0.25">
      <c r="C7" s="78"/>
      <c r="E7" s="78"/>
      <c r="F7" s="78"/>
      <c r="G7" s="78"/>
      <c r="H7" s="78"/>
      <c r="L7" s="78"/>
      <c r="M7" s="78"/>
      <c r="P7" s="99"/>
    </row>
    <row r="8" spans="1:23" x14ac:dyDescent="0.25">
      <c r="A8" s="1" t="s">
        <v>252</v>
      </c>
      <c r="C8" s="78"/>
      <c r="E8" s="78"/>
      <c r="F8" s="78"/>
      <c r="G8" s="78"/>
      <c r="H8" s="78"/>
      <c r="J8" t="s">
        <v>253</v>
      </c>
      <c r="M8" s="78"/>
      <c r="N8" s="78"/>
      <c r="O8" s="78">
        <v>-302.39999999999998</v>
      </c>
      <c r="P8" s="99">
        <v>43189</v>
      </c>
    </row>
    <row r="9" spans="1:23" x14ac:dyDescent="0.25">
      <c r="A9" t="s">
        <v>309</v>
      </c>
      <c r="C9" s="78">
        <v>56250</v>
      </c>
      <c r="E9" s="78"/>
      <c r="F9" s="78"/>
      <c r="G9" s="78"/>
      <c r="H9" s="78"/>
      <c r="I9" t="s">
        <v>343</v>
      </c>
      <c r="J9" t="s">
        <v>344</v>
      </c>
      <c r="L9" s="78"/>
      <c r="M9" s="78"/>
      <c r="O9" s="78">
        <v>-805.52</v>
      </c>
      <c r="P9" s="99">
        <v>43189</v>
      </c>
    </row>
    <row r="10" spans="1:23" x14ac:dyDescent="0.25">
      <c r="A10" t="s">
        <v>311</v>
      </c>
      <c r="C10" s="78">
        <v>15000</v>
      </c>
      <c r="F10" s="78"/>
      <c r="G10" s="78"/>
      <c r="I10" t="s">
        <v>345</v>
      </c>
      <c r="J10" t="s">
        <v>346</v>
      </c>
      <c r="L10" s="78"/>
      <c r="O10" s="117">
        <v>-960</v>
      </c>
      <c r="P10" s="99"/>
    </row>
    <row r="11" spans="1:23" x14ac:dyDescent="0.25">
      <c r="A11" t="s">
        <v>313</v>
      </c>
      <c r="C11" s="78">
        <v>6250</v>
      </c>
      <c r="E11" s="78"/>
      <c r="F11" s="78"/>
      <c r="G11" s="78"/>
      <c r="H11" s="78"/>
      <c r="I11" t="s">
        <v>347</v>
      </c>
      <c r="J11" t="s">
        <v>256</v>
      </c>
      <c r="O11" s="78"/>
      <c r="P11" s="99"/>
    </row>
    <row r="12" spans="1:23" x14ac:dyDescent="0.25">
      <c r="C12" s="78"/>
      <c r="F12" s="78"/>
      <c r="G12" s="78"/>
      <c r="H12" s="78"/>
      <c r="J12" t="s">
        <v>348</v>
      </c>
      <c r="O12" s="78"/>
      <c r="P12" s="99"/>
    </row>
    <row r="13" spans="1:23" x14ac:dyDescent="0.25">
      <c r="A13" t="s">
        <v>349</v>
      </c>
      <c r="C13" s="78">
        <v>30000</v>
      </c>
      <c r="F13" s="78"/>
      <c r="G13" s="78"/>
      <c r="H13" s="78">
        <f>C13</f>
        <v>30000</v>
      </c>
      <c r="J13" t="s">
        <v>350</v>
      </c>
      <c r="O13" s="78"/>
      <c r="P13" s="99">
        <v>43177</v>
      </c>
      <c r="Q13" t="s">
        <v>351</v>
      </c>
    </row>
    <row r="14" spans="1:23" x14ac:dyDescent="0.25">
      <c r="C14" s="78"/>
      <c r="F14" s="78"/>
      <c r="G14" s="78"/>
      <c r="H14" s="78"/>
      <c r="J14" t="s">
        <v>257</v>
      </c>
      <c r="O14" s="117">
        <v>-404.02</v>
      </c>
      <c r="P14" s="99">
        <v>43164</v>
      </c>
      <c r="R14" s="22"/>
      <c r="S14" s="22"/>
      <c r="T14" s="22"/>
      <c r="U14" s="22"/>
      <c r="V14" s="22"/>
      <c r="W14" s="22"/>
    </row>
    <row r="15" spans="1:23" x14ac:dyDescent="0.25">
      <c r="C15" s="78"/>
      <c r="F15" s="78"/>
      <c r="G15" s="78"/>
      <c r="H15" s="78"/>
      <c r="J15" s="114" t="s">
        <v>352</v>
      </c>
      <c r="K15" s="22"/>
      <c r="L15" s="22"/>
      <c r="M15" s="22"/>
      <c r="N15" s="22"/>
      <c r="O15" s="115"/>
      <c r="P15" s="116"/>
      <c r="Q15" s="114" t="s">
        <v>259</v>
      </c>
    </row>
    <row r="16" spans="1:23" x14ac:dyDescent="0.25">
      <c r="A16" t="s">
        <v>224</v>
      </c>
      <c r="C16" s="78">
        <v>5000</v>
      </c>
      <c r="E16" s="78"/>
      <c r="F16" s="78"/>
      <c r="G16" s="78"/>
      <c r="J16" t="s">
        <v>353</v>
      </c>
      <c r="M16" s="78"/>
      <c r="O16" s="78"/>
      <c r="P16" s="99">
        <v>43178</v>
      </c>
      <c r="Q16" t="s">
        <v>351</v>
      </c>
    </row>
    <row r="17" spans="1:17" x14ac:dyDescent="0.25">
      <c r="C17" s="78"/>
      <c r="E17" s="78"/>
      <c r="F17" s="78"/>
      <c r="G17" s="78"/>
      <c r="H17" s="78"/>
      <c r="J17" t="s">
        <v>354</v>
      </c>
      <c r="M17" s="78"/>
      <c r="O17" s="78"/>
      <c r="P17" s="99"/>
    </row>
    <row r="18" spans="1:17" x14ac:dyDescent="0.25">
      <c r="A18" t="s">
        <v>86</v>
      </c>
      <c r="C18" s="78">
        <v>29431</v>
      </c>
      <c r="E18" s="78"/>
      <c r="F18" s="78"/>
      <c r="G18" s="78"/>
      <c r="H18" s="78"/>
      <c r="I18" t="s">
        <v>355</v>
      </c>
      <c r="J18" t="s">
        <v>356</v>
      </c>
      <c r="O18" s="117">
        <v>-180</v>
      </c>
      <c r="P18" s="99">
        <v>43166</v>
      </c>
    </row>
    <row r="19" spans="1:17" x14ac:dyDescent="0.25">
      <c r="A19" t="s">
        <v>357</v>
      </c>
      <c r="C19" s="78">
        <f>53616</f>
        <v>53616</v>
      </c>
      <c r="E19" s="78"/>
      <c r="F19" s="78"/>
      <c r="G19" s="78"/>
      <c r="H19" s="78">
        <f>C19</f>
        <v>53616</v>
      </c>
      <c r="I19" t="s">
        <v>355</v>
      </c>
      <c r="J19" t="s">
        <v>263</v>
      </c>
      <c r="O19" s="78"/>
      <c r="P19" s="5"/>
      <c r="Q19" s="83" t="s">
        <v>358</v>
      </c>
    </row>
    <row r="20" spans="1:17" x14ac:dyDescent="0.25">
      <c r="C20" s="78"/>
      <c r="E20" s="78"/>
      <c r="F20" s="78"/>
      <c r="G20" s="78"/>
      <c r="H20" s="78"/>
      <c r="J20" t="s">
        <v>296</v>
      </c>
      <c r="L20" s="78"/>
      <c r="M20" s="78"/>
      <c r="N20" s="78"/>
      <c r="O20" s="78"/>
      <c r="P20" s="3"/>
      <c r="Q20" t="s">
        <v>284</v>
      </c>
    </row>
    <row r="21" spans="1:17" x14ac:dyDescent="0.25">
      <c r="C21" s="78"/>
      <c r="G21" s="78"/>
      <c r="M21" s="78"/>
      <c r="N21" s="78"/>
      <c r="O21" s="78"/>
      <c r="P21" s="99"/>
    </row>
    <row r="22" spans="1:17" x14ac:dyDescent="0.25">
      <c r="C22" s="78"/>
      <c r="E22" s="78"/>
      <c r="F22" s="78"/>
      <c r="G22" s="78"/>
      <c r="H22" s="78"/>
      <c r="M22" s="78"/>
      <c r="N22" s="78"/>
      <c r="O22" s="78"/>
      <c r="P22" s="99"/>
    </row>
    <row r="23" spans="1:17" x14ac:dyDescent="0.25">
      <c r="C23" s="78"/>
      <c r="E23" s="78"/>
      <c r="F23" s="78"/>
      <c r="G23" s="78"/>
      <c r="H23" s="78"/>
      <c r="J23" t="s">
        <v>264</v>
      </c>
      <c r="O23" s="117">
        <v>-256.12</v>
      </c>
      <c r="P23" s="99">
        <v>43180</v>
      </c>
    </row>
    <row r="24" spans="1:17" x14ac:dyDescent="0.25">
      <c r="C24" s="78"/>
      <c r="E24" s="78"/>
      <c r="F24" s="78"/>
      <c r="G24" s="78"/>
      <c r="H24" s="78"/>
      <c r="J24" t="s">
        <v>359</v>
      </c>
      <c r="O24" s="117">
        <v>-80</v>
      </c>
      <c r="P24" s="99"/>
    </row>
    <row r="25" spans="1:17" x14ac:dyDescent="0.25">
      <c r="C25" s="78"/>
      <c r="E25" s="78"/>
      <c r="F25" s="78"/>
      <c r="G25" s="78"/>
      <c r="H25" s="78"/>
      <c r="J25" t="s">
        <v>360</v>
      </c>
      <c r="O25" s="78"/>
      <c r="P25" s="99"/>
    </row>
    <row r="26" spans="1:17" x14ac:dyDescent="0.25">
      <c r="A26" t="s">
        <v>361</v>
      </c>
      <c r="C26" s="78">
        <v>95000</v>
      </c>
      <c r="G26" s="78">
        <f>C26</f>
        <v>95000</v>
      </c>
      <c r="I26" t="s">
        <v>362</v>
      </c>
      <c r="J26" t="s">
        <v>271</v>
      </c>
      <c r="O26" s="117">
        <v>-2304</v>
      </c>
      <c r="P26" s="3"/>
      <c r="Q26" t="s">
        <v>363</v>
      </c>
    </row>
    <row r="27" spans="1:17" x14ac:dyDescent="0.25">
      <c r="A27" t="s">
        <v>364</v>
      </c>
      <c r="C27" s="78">
        <v>5000</v>
      </c>
      <c r="J27" t="s">
        <v>272</v>
      </c>
      <c r="L27" s="78"/>
      <c r="M27" s="78"/>
      <c r="O27" s="78"/>
      <c r="P27" s="3"/>
    </row>
    <row r="28" spans="1:17" x14ac:dyDescent="0.25">
      <c r="C28" s="78"/>
      <c r="J28" t="s">
        <v>273</v>
      </c>
      <c r="M28" s="78"/>
      <c r="O28" s="78">
        <v>-1620</v>
      </c>
      <c r="P28" s="99">
        <v>43178</v>
      </c>
    </row>
    <row r="29" spans="1:17" x14ac:dyDescent="0.25">
      <c r="J29" t="s">
        <v>275</v>
      </c>
      <c r="L29" s="78">
        <v>-5955.64</v>
      </c>
      <c r="P29" s="3"/>
      <c r="Q29" s="101" t="s">
        <v>365</v>
      </c>
    </row>
    <row r="30" spans="1:17" x14ac:dyDescent="0.25">
      <c r="A30" t="s">
        <v>161</v>
      </c>
      <c r="C30" s="78">
        <v>0</v>
      </c>
      <c r="E30" s="2">
        <v>1348.31</v>
      </c>
      <c r="F30" s="78">
        <v>1915.68</v>
      </c>
      <c r="G30" s="78" t="e">
        <f>#REF!</f>
        <v>#REF!</v>
      </c>
      <c r="H30" s="2">
        <v>28.92</v>
      </c>
      <c r="J30" t="s">
        <v>275</v>
      </c>
      <c r="O30" s="117">
        <v>-3207.94</v>
      </c>
      <c r="P30" s="3"/>
      <c r="Q30" s="1" t="s">
        <v>278</v>
      </c>
    </row>
    <row r="31" spans="1:17" x14ac:dyDescent="0.25">
      <c r="A31" t="s">
        <v>288</v>
      </c>
      <c r="C31" s="78">
        <v>0</v>
      </c>
      <c r="E31" s="2">
        <v>1270.04</v>
      </c>
      <c r="F31" s="78">
        <v>907.85</v>
      </c>
      <c r="G31" s="78">
        <f>115.16+539.51</f>
        <v>654.66999999999996</v>
      </c>
      <c r="H31" s="2">
        <v>253.04</v>
      </c>
      <c r="J31" t="s">
        <v>280</v>
      </c>
      <c r="M31" s="78"/>
      <c r="P31" s="3"/>
    </row>
    <row r="32" spans="1:17" x14ac:dyDescent="0.25">
      <c r="A32" t="s">
        <v>152</v>
      </c>
      <c r="C32" s="78"/>
      <c r="E32" s="2"/>
      <c r="F32" s="78"/>
      <c r="G32" s="78"/>
      <c r="H32" s="2">
        <v>228.75</v>
      </c>
      <c r="J32" t="s">
        <v>366</v>
      </c>
      <c r="O32" s="117">
        <v>-3295.52</v>
      </c>
      <c r="P32" s="3"/>
      <c r="Q32" t="s">
        <v>367</v>
      </c>
    </row>
    <row r="33" spans="1:17" x14ac:dyDescent="0.25">
      <c r="A33" t="s">
        <v>289</v>
      </c>
      <c r="C33" s="78">
        <v>0</v>
      </c>
      <c r="E33" s="78">
        <v>50</v>
      </c>
      <c r="F33" s="78">
        <v>166.63</v>
      </c>
      <c r="G33" s="78"/>
      <c r="H33" s="78">
        <v>7215.99</v>
      </c>
      <c r="J33" t="s">
        <v>283</v>
      </c>
      <c r="L33" s="78"/>
      <c r="M33" s="78"/>
      <c r="N33" s="78"/>
      <c r="O33" s="78"/>
      <c r="P33" s="3"/>
      <c r="Q33" t="s">
        <v>284</v>
      </c>
    </row>
    <row r="34" spans="1:17" x14ac:dyDescent="0.25">
      <c r="C34" s="87">
        <f>SUM(C9:C33)</f>
        <v>295547</v>
      </c>
      <c r="E34" s="78"/>
      <c r="F34" s="78"/>
      <c r="G34" s="78"/>
      <c r="H34" s="78"/>
      <c r="J34" t="s">
        <v>368</v>
      </c>
      <c r="N34" s="78"/>
      <c r="P34" s="3"/>
      <c r="Q34" t="s">
        <v>369</v>
      </c>
    </row>
    <row r="35" spans="1:17" x14ac:dyDescent="0.25">
      <c r="A35" s="1" t="s">
        <v>290</v>
      </c>
      <c r="C35" s="78"/>
      <c r="E35" s="78"/>
      <c r="F35" s="78"/>
      <c r="G35" s="78"/>
      <c r="H35" s="78"/>
      <c r="L35" s="78"/>
      <c r="M35" s="78"/>
      <c r="N35" s="78"/>
      <c r="P35" s="3"/>
    </row>
    <row r="36" spans="1:17" x14ac:dyDescent="0.25">
      <c r="A36" t="s">
        <v>291</v>
      </c>
      <c r="C36" s="78"/>
      <c r="E36" s="78"/>
      <c r="F36" s="78"/>
      <c r="H36" s="78">
        <v>-76405.320000000007</v>
      </c>
      <c r="I36" t="s">
        <v>370</v>
      </c>
      <c r="L36" s="78"/>
      <c r="M36" s="78"/>
      <c r="N36" s="78"/>
      <c r="P36" s="3"/>
    </row>
    <row r="37" spans="1:17" x14ac:dyDescent="0.25">
      <c r="A37" t="s">
        <v>294</v>
      </c>
      <c r="C37" s="78"/>
      <c r="E37" s="78"/>
      <c r="F37" s="78"/>
      <c r="G37" s="102"/>
      <c r="H37" s="78">
        <v>-37265.760000000002</v>
      </c>
      <c r="J37" t="s">
        <v>283</v>
      </c>
      <c r="L37" s="78"/>
      <c r="O37" s="78">
        <v>-1680</v>
      </c>
      <c r="P37" s="99"/>
    </row>
    <row r="38" spans="1:17" x14ac:dyDescent="0.25">
      <c r="A38" t="s">
        <v>296</v>
      </c>
      <c r="C38" s="78"/>
      <c r="E38" s="78"/>
      <c r="F38" s="78">
        <v>-2242.9299999999998</v>
      </c>
      <c r="H38" s="78"/>
      <c r="J38" t="s">
        <v>285</v>
      </c>
      <c r="L38" s="78"/>
      <c r="M38" s="78"/>
      <c r="N38" s="78">
        <v>-1253.3599999999999</v>
      </c>
      <c r="O38" s="78"/>
      <c r="P38" s="3"/>
    </row>
    <row r="39" spans="1:17" x14ac:dyDescent="0.25">
      <c r="A39" t="s">
        <v>298</v>
      </c>
      <c r="C39" s="78"/>
      <c r="E39" s="78"/>
      <c r="F39" s="78"/>
      <c r="H39" s="90"/>
      <c r="I39" t="s">
        <v>371</v>
      </c>
      <c r="J39" t="s">
        <v>372</v>
      </c>
      <c r="L39" s="78"/>
      <c r="M39" s="78"/>
      <c r="N39" s="78"/>
      <c r="O39" s="78"/>
      <c r="P39" s="3"/>
    </row>
    <row r="40" spans="1:17" x14ac:dyDescent="0.25">
      <c r="A40" t="s">
        <v>299</v>
      </c>
      <c r="C40" s="78"/>
      <c r="E40" s="78">
        <f>L48</f>
        <v>-21258.880000000001</v>
      </c>
      <c r="F40" s="78">
        <f>M48</f>
        <v>0</v>
      </c>
      <c r="G40" s="78">
        <f>N48</f>
        <v>-1253.3599999999999</v>
      </c>
      <c r="H40" s="78">
        <f>O48</f>
        <v>-17986.359999999997</v>
      </c>
      <c r="I40" s="88">
        <f>SUM(E40:H40)</f>
        <v>-40498.6</v>
      </c>
      <c r="J40" t="s">
        <v>373</v>
      </c>
      <c r="L40" s="78"/>
      <c r="M40" s="78"/>
      <c r="N40" s="78"/>
      <c r="O40" s="117">
        <v>-275.39999999999998</v>
      </c>
      <c r="P40" s="3"/>
    </row>
    <row r="41" spans="1:17" x14ac:dyDescent="0.25">
      <c r="A41" s="1" t="s">
        <v>300</v>
      </c>
      <c r="C41" s="78"/>
      <c r="E41" s="89">
        <f>SUM(E36:E40)</f>
        <v>-21258.880000000001</v>
      </c>
      <c r="F41" s="89">
        <f>SUM(F36:F40)</f>
        <v>-2242.9299999999998</v>
      </c>
      <c r="G41" s="89">
        <f>SUM(G36:G40)</f>
        <v>-1253.3599999999999</v>
      </c>
      <c r="H41" s="89">
        <f>SUM(H36:H40)</f>
        <v>-131657.44</v>
      </c>
      <c r="I41" s="88">
        <f>SUM(E41:H41)</f>
        <v>-156412.61000000002</v>
      </c>
      <c r="J41" t="s">
        <v>164</v>
      </c>
      <c r="L41" s="78"/>
      <c r="M41" s="78"/>
      <c r="O41" s="78"/>
      <c r="P41" s="3"/>
    </row>
    <row r="42" spans="1:17" x14ac:dyDescent="0.25">
      <c r="A42" s="104" t="s">
        <v>302</v>
      </c>
      <c r="C42" s="78"/>
      <c r="E42" s="103">
        <v>-5955.64</v>
      </c>
      <c r="F42" s="103">
        <v>-2242.9299999999998</v>
      </c>
      <c r="G42" s="103">
        <v>-1253.3599999999999</v>
      </c>
      <c r="H42" s="103">
        <v>-131657.44</v>
      </c>
      <c r="J42" t="s">
        <v>286</v>
      </c>
      <c r="O42" s="78">
        <v>-2565</v>
      </c>
      <c r="P42" s="78"/>
      <c r="Q42" t="s">
        <v>374</v>
      </c>
    </row>
    <row r="43" spans="1:17" x14ac:dyDescent="0.25">
      <c r="A43" s="1" t="s">
        <v>303</v>
      </c>
      <c r="C43" s="78"/>
      <c r="E43" s="78">
        <f>SUM(E8:E34)+E41</f>
        <v>-18590.530000000002</v>
      </c>
      <c r="F43" s="78">
        <f>SUM(F8:F34)+F41</f>
        <v>747.23000000000047</v>
      </c>
      <c r="G43" s="78" t="e">
        <f>SUM(G8:G34)+G41</f>
        <v>#REF!</v>
      </c>
      <c r="H43" s="78">
        <f>SUM(H8:H34)+H41</f>
        <v>-40314.740000000005</v>
      </c>
      <c r="J43" t="s">
        <v>375</v>
      </c>
      <c r="L43" s="78">
        <v>-15303.24</v>
      </c>
      <c r="M43" s="78"/>
      <c r="N43" s="78"/>
      <c r="O43" s="78"/>
    </row>
    <row r="44" spans="1:17" x14ac:dyDescent="0.25">
      <c r="C44" s="78"/>
      <c r="E44" s="78"/>
      <c r="F44" s="78"/>
      <c r="G44" s="78"/>
      <c r="H44" s="78"/>
      <c r="I44" s="78"/>
      <c r="L44" s="86">
        <f>SUM(L7:L43)</f>
        <v>-21258.880000000001</v>
      </c>
      <c r="M44" s="86">
        <f>SUM(M7:M43)</f>
        <v>0</v>
      </c>
      <c r="N44" s="86">
        <f>SUM(N7:N43)</f>
        <v>-1253.3599999999999</v>
      </c>
      <c r="O44" s="86">
        <f>SUM(O7:O43)</f>
        <v>-17935.919999999998</v>
      </c>
    </row>
    <row r="45" spans="1:17" x14ac:dyDescent="0.25">
      <c r="A45" s="1" t="s">
        <v>304</v>
      </c>
      <c r="C45" s="78"/>
      <c r="E45" s="86">
        <f>E6+E43</f>
        <v>3550.6900000000132</v>
      </c>
      <c r="F45" s="86">
        <f>F6+F43</f>
        <v>4297.9200000000137</v>
      </c>
      <c r="G45" s="86" t="e">
        <f>G6+G43</f>
        <v>#REF!</v>
      </c>
      <c r="H45" s="86" t="e">
        <f>H6+H43</f>
        <v>#REF!</v>
      </c>
      <c r="L45" s="78"/>
      <c r="M45" s="78"/>
      <c r="N45" s="78"/>
      <c r="O45" s="78"/>
    </row>
    <row r="46" spans="1:17" x14ac:dyDescent="0.25">
      <c r="A46" t="s">
        <v>305</v>
      </c>
      <c r="C46" s="78"/>
      <c r="E46" s="78">
        <v>18853.93</v>
      </c>
      <c r="F46" s="78">
        <v>19601.16</v>
      </c>
      <c r="G46" s="78">
        <v>114474.87</v>
      </c>
      <c r="H46" s="78">
        <v>74160.13</v>
      </c>
      <c r="J46" t="s">
        <v>293</v>
      </c>
      <c r="L46" s="78"/>
      <c r="M46" s="78"/>
      <c r="N46" s="78">
        <v>0</v>
      </c>
      <c r="O46" s="78">
        <f>-32.44-18</f>
        <v>-50.44</v>
      </c>
    </row>
    <row r="47" spans="1:17" x14ac:dyDescent="0.25">
      <c r="C47" s="78"/>
      <c r="E47" s="78"/>
      <c r="F47" s="78"/>
      <c r="G47" s="78"/>
      <c r="H47" s="78"/>
      <c r="I47" s="120"/>
      <c r="L47" s="78"/>
      <c r="M47" s="78"/>
      <c r="N47" s="78"/>
      <c r="O47" s="78"/>
    </row>
    <row r="48" spans="1:17" x14ac:dyDescent="0.25">
      <c r="A48" s="104" t="s">
        <v>306</v>
      </c>
      <c r="C48" s="78"/>
      <c r="E48" s="103">
        <f>E41-E42</f>
        <v>-15303.240000000002</v>
      </c>
      <c r="F48" s="103">
        <f>F41-F42</f>
        <v>0</v>
      </c>
      <c r="G48" s="103">
        <f>G41-G42</f>
        <v>0</v>
      </c>
      <c r="H48" s="103">
        <f>H41-H42</f>
        <v>0</v>
      </c>
      <c r="J48" s="1" t="s">
        <v>297</v>
      </c>
      <c r="K48" s="1"/>
      <c r="L48" s="86">
        <f>L46+L44</f>
        <v>-21258.880000000001</v>
      </c>
      <c r="M48" s="86">
        <f>M46+M44</f>
        <v>0</v>
      </c>
      <c r="N48" s="86">
        <f>N46+N44</f>
        <v>-1253.3599999999999</v>
      </c>
      <c r="O48" s="86">
        <f>O46+O44</f>
        <v>-17986.359999999997</v>
      </c>
      <c r="P48" s="88">
        <f>SUM(L48:O48)</f>
        <v>-40498.6</v>
      </c>
    </row>
    <row r="49" spans="1:16" x14ac:dyDescent="0.25">
      <c r="A49" s="85"/>
      <c r="B49" s="3"/>
      <c r="C49" s="5"/>
      <c r="D49" s="3"/>
      <c r="E49" s="98"/>
      <c r="F49" s="98"/>
      <c r="G49" s="98"/>
      <c r="H49" s="98"/>
      <c r="I49" s="3"/>
      <c r="J49" s="1"/>
      <c r="K49" s="1"/>
      <c r="L49" s="86"/>
      <c r="M49" s="86"/>
      <c r="N49" s="86"/>
      <c r="O49" s="86"/>
      <c r="P49" s="88"/>
    </row>
    <row r="50" spans="1:16" x14ac:dyDescent="0.25">
      <c r="A50" s="3"/>
      <c r="B50" s="3"/>
      <c r="C50" s="3"/>
      <c r="D50" s="3"/>
      <c r="E50" s="3"/>
      <c r="F50" s="3"/>
      <c r="G50" s="3"/>
      <c r="H50" s="78"/>
      <c r="I50" s="3"/>
      <c r="L50" s="78"/>
      <c r="M50" s="78"/>
      <c r="N50" s="78"/>
      <c r="O50" s="78"/>
    </row>
    <row r="51" spans="1:16" x14ac:dyDescent="0.25">
      <c r="A51" s="1"/>
      <c r="C51" s="78"/>
      <c r="E51" s="86"/>
      <c r="F51" s="86"/>
      <c r="G51" s="86"/>
      <c r="H51" s="86"/>
      <c r="J51" t="s">
        <v>301</v>
      </c>
      <c r="L51" s="78"/>
      <c r="M51" s="78"/>
      <c r="N51" s="78"/>
      <c r="O51" s="78"/>
    </row>
    <row r="52" spans="1:16" x14ac:dyDescent="0.25">
      <c r="C52" s="78"/>
      <c r="E52" s="78"/>
      <c r="F52" s="78"/>
      <c r="G52" s="78"/>
      <c r="H52" s="78"/>
      <c r="L52" s="78"/>
      <c r="M52" s="78"/>
      <c r="N52" s="78"/>
      <c r="O52" s="78"/>
    </row>
    <row r="53" spans="1:16" x14ac:dyDescent="0.25">
      <c r="A53" s="1"/>
      <c r="C53" s="78"/>
      <c r="E53" s="78"/>
      <c r="F53" s="78"/>
      <c r="G53" s="78"/>
      <c r="H53" s="78"/>
      <c r="L53" s="78"/>
      <c r="M53" s="78"/>
      <c r="N53" s="78"/>
      <c r="O53" s="78"/>
    </row>
    <row r="54" spans="1:16" x14ac:dyDescent="0.25">
      <c r="C54" s="78"/>
      <c r="E54" s="78"/>
      <c r="F54" s="78"/>
      <c r="G54" s="78"/>
      <c r="H54" s="78"/>
      <c r="L54" s="78"/>
      <c r="M54" s="78"/>
      <c r="N54" s="78"/>
      <c r="O54" s="78"/>
    </row>
    <row r="55" spans="1:16" x14ac:dyDescent="0.25">
      <c r="C55" s="78"/>
      <c r="E55" s="78"/>
      <c r="F55" s="78"/>
      <c r="G55" s="78"/>
      <c r="H55" s="78"/>
      <c r="L55" s="78"/>
      <c r="M55" s="78"/>
      <c r="N55" s="78"/>
      <c r="O55" s="78"/>
    </row>
    <row r="56" spans="1:16" x14ac:dyDescent="0.25">
      <c r="C56" s="78"/>
      <c r="E56" s="78"/>
      <c r="F56" s="78"/>
      <c r="G56" s="78"/>
      <c r="H56" s="78"/>
      <c r="L56" s="78"/>
      <c r="M56" s="78"/>
      <c r="N56" s="78"/>
      <c r="O56" s="78"/>
    </row>
    <row r="57" spans="1:16" x14ac:dyDescent="0.25">
      <c r="C57" s="78"/>
      <c r="E57" s="78"/>
      <c r="F57" s="78"/>
      <c r="G57" s="78"/>
      <c r="H57" s="78"/>
      <c r="L57" s="78"/>
      <c r="M57" s="78"/>
      <c r="N57" s="78"/>
      <c r="O57" s="78"/>
    </row>
    <row r="58" spans="1:16" x14ac:dyDescent="0.25">
      <c r="C58" s="78"/>
      <c r="E58" s="78"/>
      <c r="F58" s="78"/>
      <c r="G58" s="78"/>
      <c r="H58" s="78"/>
      <c r="L58" s="78"/>
      <c r="M58" s="78"/>
      <c r="N58" s="78"/>
      <c r="O58" s="78"/>
    </row>
    <row r="59" spans="1:16" x14ac:dyDescent="0.25">
      <c r="C59" s="78"/>
      <c r="E59" s="78"/>
      <c r="F59" s="78"/>
      <c r="G59" s="78"/>
      <c r="H59" s="78"/>
      <c r="L59" s="78"/>
      <c r="M59" s="78"/>
      <c r="N59" s="78"/>
      <c r="O59" s="78"/>
    </row>
    <row r="60" spans="1:16" x14ac:dyDescent="0.25">
      <c r="C60" s="78"/>
      <c r="E60" s="78"/>
      <c r="F60" s="78"/>
      <c r="G60" s="78"/>
      <c r="H60" s="78"/>
      <c r="L60" s="78"/>
      <c r="M60" s="78"/>
      <c r="N60" s="78"/>
      <c r="O60" s="78"/>
    </row>
    <row r="61" spans="1:16" x14ac:dyDescent="0.25">
      <c r="C61" s="78"/>
      <c r="E61" s="78"/>
      <c r="F61" s="78"/>
      <c r="G61" s="78"/>
      <c r="H61" s="78"/>
      <c r="L61" s="78"/>
      <c r="M61" s="78"/>
      <c r="N61" s="78"/>
      <c r="O61" s="78"/>
    </row>
    <row r="62" spans="1:16" x14ac:dyDescent="0.25">
      <c r="C62" s="78"/>
      <c r="F62" s="78"/>
      <c r="G62" s="78"/>
      <c r="H62" s="78"/>
    </row>
    <row r="63" spans="1:16" x14ac:dyDescent="0.25">
      <c r="C63" s="78"/>
      <c r="E63" s="78"/>
      <c r="F63" s="78"/>
      <c r="G63" s="78"/>
      <c r="H63" s="78"/>
    </row>
    <row r="64" spans="1:16" x14ac:dyDescent="0.25">
      <c r="C64" s="78"/>
      <c r="E64" s="78"/>
      <c r="F64" s="78"/>
      <c r="G64" s="78"/>
      <c r="H64" s="78"/>
    </row>
    <row r="65" spans="1:9" x14ac:dyDescent="0.25">
      <c r="C65" s="78"/>
      <c r="E65" s="78"/>
      <c r="F65" s="78"/>
      <c r="G65" s="78"/>
      <c r="H65" s="78"/>
    </row>
    <row r="66" spans="1:9" x14ac:dyDescent="0.25">
      <c r="C66" s="78"/>
      <c r="E66" s="78"/>
      <c r="F66" s="78"/>
      <c r="G66" s="78"/>
      <c r="H66" s="78"/>
    </row>
    <row r="67" spans="1:9" x14ac:dyDescent="0.25">
      <c r="C67" s="78"/>
      <c r="E67" s="78"/>
      <c r="F67" s="78"/>
      <c r="G67" s="78"/>
      <c r="H67" s="78"/>
    </row>
    <row r="68" spans="1:9" x14ac:dyDescent="0.25">
      <c r="C68" s="78"/>
    </row>
    <row r="69" spans="1:9" x14ac:dyDescent="0.25">
      <c r="C69" s="78"/>
    </row>
    <row r="70" spans="1:9" x14ac:dyDescent="0.25">
      <c r="C70" s="78"/>
      <c r="E70" s="78"/>
      <c r="F70" s="78"/>
      <c r="G70" s="78"/>
      <c r="H70" s="78"/>
    </row>
    <row r="71" spans="1:9" x14ac:dyDescent="0.25">
      <c r="C71" s="78"/>
    </row>
    <row r="72" spans="1:9" x14ac:dyDescent="0.25">
      <c r="C72" s="78"/>
      <c r="E72" s="78"/>
      <c r="F72" s="78"/>
      <c r="G72" s="78"/>
      <c r="H72" s="78"/>
    </row>
    <row r="73" spans="1:9" x14ac:dyDescent="0.25">
      <c r="C73" s="78"/>
      <c r="E73" s="78"/>
      <c r="F73" s="78"/>
      <c r="G73" s="78"/>
      <c r="H73" s="78"/>
    </row>
    <row r="74" spans="1:9" x14ac:dyDescent="0.25">
      <c r="C74" s="87"/>
      <c r="E74" s="78"/>
      <c r="F74" s="78"/>
      <c r="G74" s="78"/>
      <c r="H74" s="78"/>
    </row>
    <row r="75" spans="1:9" x14ac:dyDescent="0.25">
      <c r="A75" s="1"/>
      <c r="C75" s="78"/>
      <c r="E75" s="78"/>
      <c r="F75" s="78"/>
      <c r="G75" s="78"/>
      <c r="H75" s="78"/>
    </row>
    <row r="76" spans="1:9" x14ac:dyDescent="0.25">
      <c r="C76" s="78"/>
      <c r="E76" s="78"/>
      <c r="F76" s="78"/>
      <c r="G76" s="78"/>
      <c r="H76" s="78"/>
    </row>
    <row r="77" spans="1:9" x14ac:dyDescent="0.25">
      <c r="C77" s="78"/>
      <c r="E77" s="78"/>
      <c r="F77" s="78"/>
      <c r="G77" s="78"/>
      <c r="H77" s="78"/>
    </row>
    <row r="78" spans="1:9" x14ac:dyDescent="0.25">
      <c r="C78" s="78"/>
      <c r="E78" s="78"/>
      <c r="F78" s="78"/>
      <c r="G78" s="78"/>
      <c r="H78" s="78"/>
    </row>
    <row r="79" spans="1:9" x14ac:dyDescent="0.25">
      <c r="C79" s="78"/>
      <c r="E79" s="78"/>
      <c r="F79" s="78"/>
      <c r="G79" s="78"/>
      <c r="H79" s="78"/>
      <c r="I79" s="88"/>
    </row>
    <row r="80" spans="1:9" x14ac:dyDescent="0.25">
      <c r="A80" s="1"/>
      <c r="C80" s="78"/>
      <c r="E80" s="89"/>
      <c r="F80" s="89"/>
      <c r="G80" s="89"/>
      <c r="H80" s="89"/>
      <c r="I80" s="88"/>
    </row>
    <row r="81" spans="1:8" x14ac:dyDescent="0.25">
      <c r="C81" s="78"/>
      <c r="E81" s="78"/>
      <c r="F81" s="78"/>
      <c r="G81" s="78"/>
      <c r="H81" s="78"/>
    </row>
    <row r="82" spans="1:8" x14ac:dyDescent="0.25">
      <c r="A82" s="1"/>
      <c r="C82" s="78"/>
      <c r="E82" s="78"/>
      <c r="F82" s="78"/>
      <c r="G82" s="78"/>
      <c r="H82" s="78"/>
    </row>
    <row r="83" spans="1:8" x14ac:dyDescent="0.25">
      <c r="C83" s="78"/>
      <c r="E83" s="78"/>
      <c r="F83" s="78"/>
      <c r="G83" s="78"/>
      <c r="H83" s="78"/>
    </row>
    <row r="84" spans="1:8" x14ac:dyDescent="0.25">
      <c r="A84" s="1"/>
      <c r="C84" s="78"/>
      <c r="E84" s="86"/>
      <c r="F84" s="86"/>
      <c r="G84" s="86"/>
      <c r="H84" s="86"/>
    </row>
  </sheetData>
  <pageMargins left="0.25" right="0.25" top="0.75" bottom="0.75" header="0.3" footer="0.3"/>
  <pageSetup paperSize="8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tabColor theme="1" tint="0.249977111117893"/>
    <pageSetUpPr fitToPage="1"/>
  </sheetPr>
  <dimension ref="A1:I61"/>
  <sheetViews>
    <sheetView topLeftCell="A25" zoomScale="90" zoomScaleNormal="90" workbookViewId="0">
      <selection activeCell="C40" sqref="C40:F43"/>
    </sheetView>
  </sheetViews>
  <sheetFormatPr defaultColWidth="9.140625" defaultRowHeight="12.75" x14ac:dyDescent="0.2"/>
  <cols>
    <col min="1" max="1" width="44" style="51" customWidth="1"/>
    <col min="2" max="2" width="9.5703125" style="51" customWidth="1"/>
    <col min="3" max="3" width="11.85546875" style="53" customWidth="1"/>
    <col min="4" max="4" width="13.140625" style="53" customWidth="1"/>
    <col min="5" max="6" width="11.85546875" style="53" customWidth="1"/>
    <col min="7" max="7" width="9.140625" style="54"/>
    <col min="8" max="8" width="44.140625" style="51" bestFit="1" customWidth="1"/>
    <col min="9" max="9" width="47.28515625" style="51" bestFit="1" customWidth="1"/>
    <col min="10" max="16384" width="9.140625" style="51"/>
  </cols>
  <sheetData>
    <row r="1" spans="1:9" x14ac:dyDescent="0.2">
      <c r="A1" s="50" t="s">
        <v>142</v>
      </c>
      <c r="C1" s="52" t="s">
        <v>72</v>
      </c>
    </row>
    <row r="2" spans="1:9" x14ac:dyDescent="0.2">
      <c r="A2" s="55" t="s">
        <v>376</v>
      </c>
    </row>
    <row r="3" spans="1:9" x14ac:dyDescent="0.2">
      <c r="A3" s="55"/>
    </row>
    <row r="4" spans="1:9" ht="25.5" x14ac:dyDescent="0.2">
      <c r="A4" s="56" t="s">
        <v>377</v>
      </c>
      <c r="B4" s="57" t="s">
        <v>145</v>
      </c>
      <c r="C4" s="58">
        <f>'Feb 18'!C51</f>
        <v>37414.580000000016</v>
      </c>
      <c r="D4" s="58">
        <f>'Feb 18'!D51</f>
        <v>37414.580000000016</v>
      </c>
      <c r="E4" s="58">
        <f>'Feb 18'!E51</f>
        <v>37414.580000000016</v>
      </c>
      <c r="F4" s="58">
        <f>'Feb 18'!F51</f>
        <v>37414.580000000016</v>
      </c>
    </row>
    <row r="6" spans="1:9" ht="15" x14ac:dyDescent="0.25">
      <c r="A6" s="50" t="s">
        <v>146</v>
      </c>
      <c r="B6" s="50"/>
      <c r="C6" s="52" t="s">
        <v>108</v>
      </c>
      <c r="D6" s="4" t="s">
        <v>109</v>
      </c>
      <c r="E6" s="52" t="s">
        <v>147</v>
      </c>
      <c r="F6" s="52" t="s">
        <v>148</v>
      </c>
      <c r="G6" s="59" t="s">
        <v>149</v>
      </c>
      <c r="H6" s="50" t="s">
        <v>150</v>
      </c>
      <c r="I6" s="79" t="s">
        <v>151</v>
      </c>
    </row>
    <row r="7" spans="1:9" x14ac:dyDescent="0.2">
      <c r="C7" s="60"/>
      <c r="D7" s="60"/>
      <c r="E7" s="60"/>
      <c r="F7" s="60"/>
    </row>
    <row r="8" spans="1:9" x14ac:dyDescent="0.2">
      <c r="A8" s="50" t="s">
        <v>56</v>
      </c>
      <c r="B8" s="50"/>
      <c r="C8" s="60"/>
    </row>
    <row r="13" spans="1:9" ht="13.5" customHeight="1" x14ac:dyDescent="0.2">
      <c r="A13" s="48" t="s">
        <v>378</v>
      </c>
      <c r="B13" s="51" t="s">
        <v>17</v>
      </c>
      <c r="C13" s="60">
        <v>30000</v>
      </c>
      <c r="D13" s="60">
        <v>30000</v>
      </c>
      <c r="E13" s="60">
        <f>D13</f>
        <v>30000</v>
      </c>
      <c r="F13" s="60">
        <f>E13</f>
        <v>30000</v>
      </c>
      <c r="G13" s="54" t="s">
        <v>379</v>
      </c>
      <c r="H13" s="51" t="s">
        <v>380</v>
      </c>
      <c r="I13" s="51" t="s">
        <v>381</v>
      </c>
    </row>
    <row r="15" spans="1:9" x14ac:dyDescent="0.2">
      <c r="A15" s="50" t="s">
        <v>57</v>
      </c>
      <c r="B15" s="50"/>
      <c r="C15" s="60"/>
      <c r="D15" s="60"/>
      <c r="E15" s="60"/>
      <c r="F15" s="60"/>
    </row>
    <row r="16" spans="1:9" x14ac:dyDescent="0.2">
      <c r="A16" s="95" t="s">
        <v>317</v>
      </c>
      <c r="B16" s="51" t="s">
        <v>18</v>
      </c>
      <c r="C16" s="60">
        <v>6851</v>
      </c>
      <c r="D16" s="60" t="e">
        <f>SUM(#REF!)</f>
        <v>#REF!</v>
      </c>
      <c r="E16" s="60" t="e">
        <f>D16</f>
        <v>#REF!</v>
      </c>
      <c r="F16" s="60" t="e">
        <f>E16</f>
        <v>#REF!</v>
      </c>
      <c r="G16" s="54" t="s">
        <v>153</v>
      </c>
      <c r="H16" s="51" t="s">
        <v>382</v>
      </c>
    </row>
    <row r="18" spans="1:9" x14ac:dyDescent="0.2">
      <c r="C18" s="60"/>
      <c r="D18" s="60"/>
      <c r="E18" s="60"/>
      <c r="F18" s="60"/>
    </row>
    <row r="19" spans="1:9" x14ac:dyDescent="0.2">
      <c r="A19" s="50" t="s">
        <v>58</v>
      </c>
      <c r="B19" s="50"/>
      <c r="C19" s="60"/>
    </row>
    <row r="20" spans="1:9" x14ac:dyDescent="0.2">
      <c r="A20" s="95" t="s">
        <v>357</v>
      </c>
      <c r="B20" s="51" t="s">
        <v>17</v>
      </c>
      <c r="C20" s="60">
        <f>53616</f>
        <v>53616</v>
      </c>
      <c r="D20" s="53">
        <f>C20</f>
        <v>53616</v>
      </c>
      <c r="E20" s="53">
        <f>D20</f>
        <v>53616</v>
      </c>
      <c r="F20" s="53">
        <f>E20</f>
        <v>53616</v>
      </c>
      <c r="G20" s="54" t="s">
        <v>383</v>
      </c>
      <c r="H20" s="51" t="s">
        <v>384</v>
      </c>
      <c r="I20" s="51" t="s">
        <v>381</v>
      </c>
    </row>
    <row r="23" spans="1:9" x14ac:dyDescent="0.2">
      <c r="C23" s="60"/>
      <c r="D23" s="60"/>
      <c r="E23" s="60"/>
      <c r="F23" s="60"/>
    </row>
    <row r="24" spans="1:9" x14ac:dyDescent="0.2">
      <c r="A24" s="50" t="s">
        <v>157</v>
      </c>
      <c r="B24" s="50"/>
      <c r="C24" s="60"/>
      <c r="D24" s="60"/>
      <c r="E24" s="60"/>
      <c r="F24" s="60"/>
    </row>
    <row r="25" spans="1:9" x14ac:dyDescent="0.2">
      <c r="A25" s="48" t="s">
        <v>385</v>
      </c>
      <c r="B25" s="49" t="s">
        <v>17</v>
      </c>
      <c r="C25" s="60">
        <v>95000</v>
      </c>
      <c r="D25" s="53">
        <v>95000</v>
      </c>
      <c r="E25" s="60">
        <v>95000</v>
      </c>
      <c r="F25" s="60">
        <v>95000</v>
      </c>
      <c r="G25" s="54" t="s">
        <v>386</v>
      </c>
      <c r="H25" s="51" t="s">
        <v>387</v>
      </c>
      <c r="I25" s="51" t="s">
        <v>388</v>
      </c>
    </row>
    <row r="27" spans="1:9" x14ac:dyDescent="0.2">
      <c r="A27" s="49"/>
      <c r="C27" s="60"/>
      <c r="D27" s="60"/>
      <c r="E27" s="60"/>
      <c r="F27" s="60"/>
    </row>
    <row r="28" spans="1:9" x14ac:dyDescent="0.2">
      <c r="A28" s="50" t="s">
        <v>133</v>
      </c>
      <c r="B28" s="49"/>
      <c r="C28" s="60"/>
      <c r="D28" s="60"/>
      <c r="E28" s="60"/>
      <c r="F28" s="60"/>
    </row>
    <row r="29" spans="1:9" x14ac:dyDescent="0.2">
      <c r="A29" s="118" t="s">
        <v>389</v>
      </c>
      <c r="B29" s="49" t="s">
        <v>18</v>
      </c>
      <c r="C29" s="60">
        <v>6187.08</v>
      </c>
      <c r="D29" s="60">
        <f t="shared" ref="D29:F33" si="0">C29</f>
        <v>6187.08</v>
      </c>
      <c r="E29" s="60">
        <f t="shared" si="0"/>
        <v>6187.08</v>
      </c>
      <c r="F29" s="60">
        <f t="shared" si="0"/>
        <v>6187.08</v>
      </c>
    </row>
    <row r="30" spans="1:9" x14ac:dyDescent="0.2">
      <c r="A30" s="118" t="s">
        <v>390</v>
      </c>
      <c r="B30" s="49" t="s">
        <v>18</v>
      </c>
      <c r="C30" s="60">
        <v>1028.9100000000001</v>
      </c>
      <c r="D30" s="60">
        <f t="shared" si="0"/>
        <v>1028.9100000000001</v>
      </c>
      <c r="E30" s="60">
        <f t="shared" si="0"/>
        <v>1028.9100000000001</v>
      </c>
      <c r="F30" s="60">
        <f t="shared" si="0"/>
        <v>1028.9100000000001</v>
      </c>
    </row>
    <row r="31" spans="1:9" x14ac:dyDescent="0.2">
      <c r="A31" s="48" t="s">
        <v>391</v>
      </c>
      <c r="B31" s="49" t="s">
        <v>18</v>
      </c>
      <c r="C31" s="60">
        <v>228.75</v>
      </c>
      <c r="D31" s="60">
        <f>C31</f>
        <v>228.75</v>
      </c>
      <c r="E31" s="60">
        <f>D31</f>
        <v>228.75</v>
      </c>
      <c r="F31" s="60">
        <f>E31</f>
        <v>228.75</v>
      </c>
    </row>
    <row r="32" spans="1:9" x14ac:dyDescent="0.2">
      <c r="A32" s="48" t="s">
        <v>392</v>
      </c>
      <c r="B32" s="49" t="s">
        <v>18</v>
      </c>
      <c r="C32" s="60">
        <v>30</v>
      </c>
      <c r="D32" s="60">
        <f t="shared" si="0"/>
        <v>30</v>
      </c>
      <c r="E32" s="60">
        <f t="shared" si="0"/>
        <v>30</v>
      </c>
      <c r="F32" s="60">
        <f t="shared" si="0"/>
        <v>30</v>
      </c>
    </row>
    <row r="33" spans="1:9" x14ac:dyDescent="0.2">
      <c r="A33" s="48" t="s">
        <v>393</v>
      </c>
      <c r="B33" s="49" t="s">
        <v>18</v>
      </c>
      <c r="C33" s="60">
        <v>166.63</v>
      </c>
      <c r="D33" s="60">
        <f t="shared" si="0"/>
        <v>166.63</v>
      </c>
      <c r="E33" s="60">
        <f t="shared" si="0"/>
        <v>166.63</v>
      </c>
      <c r="F33" s="60">
        <f t="shared" si="0"/>
        <v>166.63</v>
      </c>
    </row>
    <row r="34" spans="1:9" x14ac:dyDescent="0.2">
      <c r="A34" s="48" t="s">
        <v>394</v>
      </c>
      <c r="B34" s="49" t="s">
        <v>18</v>
      </c>
      <c r="C34" s="60">
        <v>50</v>
      </c>
      <c r="D34" s="60">
        <f>C34</f>
        <v>50</v>
      </c>
      <c r="E34" s="60">
        <f>D34</f>
        <v>50</v>
      </c>
      <c r="F34" s="60">
        <f>E34</f>
        <v>50</v>
      </c>
    </row>
    <row r="35" spans="1:9" x14ac:dyDescent="0.2">
      <c r="C35" s="60"/>
      <c r="E35" s="60"/>
      <c r="F35" s="60"/>
    </row>
    <row r="36" spans="1:9" x14ac:dyDescent="0.2">
      <c r="A36" s="50" t="s">
        <v>168</v>
      </c>
      <c r="B36" s="50"/>
      <c r="C36" s="61">
        <f>SUM(C7:C35)</f>
        <v>193158.37</v>
      </c>
      <c r="D36" s="61" t="e">
        <f>SUM(D7:D35)</f>
        <v>#REF!</v>
      </c>
      <c r="E36" s="61" t="e">
        <f>SUM(E7:E35)</f>
        <v>#REF!</v>
      </c>
      <c r="F36" s="61" t="e">
        <f>SUM(F7:F35)</f>
        <v>#REF!</v>
      </c>
      <c r="I36" s="119"/>
    </row>
    <row r="37" spans="1:9" x14ac:dyDescent="0.2">
      <c r="C37" s="60"/>
      <c r="D37" s="60"/>
      <c r="E37" s="60"/>
      <c r="F37" s="60"/>
    </row>
    <row r="38" spans="1:9" x14ac:dyDescent="0.2">
      <c r="A38" s="62"/>
      <c r="B38" s="62"/>
      <c r="C38" s="63"/>
      <c r="D38" s="63"/>
      <c r="E38" s="64"/>
      <c r="F38" s="64"/>
      <c r="G38" s="65"/>
      <c r="H38" s="62"/>
    </row>
    <row r="39" spans="1:9" x14ac:dyDescent="0.2">
      <c r="A39" s="50" t="s">
        <v>169</v>
      </c>
      <c r="B39" s="50"/>
      <c r="C39" s="60"/>
      <c r="D39" s="60"/>
      <c r="E39" s="61"/>
      <c r="F39" s="61"/>
    </row>
    <row r="40" spans="1:9" x14ac:dyDescent="0.2">
      <c r="A40" s="51" t="s">
        <v>395</v>
      </c>
      <c r="C40" s="60">
        <f>'Mar Zoom'!E41</f>
        <v>-21258.880000000001</v>
      </c>
      <c r="D40" s="60">
        <f t="shared" ref="D40:F44" si="1">C40</f>
        <v>-21258.880000000001</v>
      </c>
      <c r="E40" s="60">
        <f t="shared" si="1"/>
        <v>-21258.880000000001</v>
      </c>
      <c r="F40" s="60">
        <f t="shared" si="1"/>
        <v>-21258.880000000001</v>
      </c>
      <c r="H40" s="51" t="s">
        <v>215</v>
      </c>
    </row>
    <row r="41" spans="1:9" x14ac:dyDescent="0.2">
      <c r="A41" s="51" t="s">
        <v>396</v>
      </c>
      <c r="C41" s="60">
        <f>'Mar Zoom'!F41</f>
        <v>-2242.9299999999998</v>
      </c>
      <c r="D41" s="60">
        <f t="shared" si="1"/>
        <v>-2242.9299999999998</v>
      </c>
      <c r="E41" s="60">
        <f t="shared" si="1"/>
        <v>-2242.9299999999998</v>
      </c>
      <c r="F41" s="60">
        <f t="shared" si="1"/>
        <v>-2242.9299999999998</v>
      </c>
      <c r="H41" s="51" t="s">
        <v>215</v>
      </c>
    </row>
    <row r="42" spans="1:9" x14ac:dyDescent="0.2">
      <c r="A42" s="51" t="s">
        <v>397</v>
      </c>
      <c r="C42" s="60">
        <f>'Mar Zoom'!G41</f>
        <v>-1253.3599999999999</v>
      </c>
      <c r="D42" s="60">
        <f t="shared" si="1"/>
        <v>-1253.3599999999999</v>
      </c>
      <c r="E42" s="60">
        <f t="shared" si="1"/>
        <v>-1253.3599999999999</v>
      </c>
      <c r="F42" s="60">
        <f t="shared" si="1"/>
        <v>-1253.3599999999999</v>
      </c>
      <c r="H42" s="51" t="s">
        <v>215</v>
      </c>
    </row>
    <row r="43" spans="1:9" x14ac:dyDescent="0.2">
      <c r="A43" s="51" t="s">
        <v>398</v>
      </c>
      <c r="C43" s="60">
        <f>'Mar Zoom'!H41-C44</f>
        <v>-131657.44</v>
      </c>
      <c r="D43" s="60">
        <f t="shared" si="1"/>
        <v>-131657.44</v>
      </c>
      <c r="E43" s="60">
        <f t="shared" si="1"/>
        <v>-131657.44</v>
      </c>
      <c r="F43" s="60">
        <f t="shared" si="1"/>
        <v>-131657.44</v>
      </c>
      <c r="H43" s="51" t="s">
        <v>215</v>
      </c>
    </row>
    <row r="44" spans="1:9" x14ac:dyDescent="0.2">
      <c r="A44" s="51" t="s">
        <v>399</v>
      </c>
      <c r="C44" s="60">
        <v>0</v>
      </c>
      <c r="D44" s="60">
        <f t="shared" si="1"/>
        <v>0</v>
      </c>
      <c r="E44" s="60">
        <f t="shared" si="1"/>
        <v>0</v>
      </c>
      <c r="F44" s="60">
        <f t="shared" si="1"/>
        <v>0</v>
      </c>
      <c r="H44" s="51" t="s">
        <v>400</v>
      </c>
    </row>
    <row r="45" spans="1:9" x14ac:dyDescent="0.2">
      <c r="C45" s="60"/>
      <c r="D45" s="60"/>
      <c r="E45" s="60"/>
      <c r="F45" s="60"/>
    </row>
    <row r="46" spans="1:9" x14ac:dyDescent="0.2">
      <c r="A46" s="50" t="s">
        <v>183</v>
      </c>
      <c r="B46" s="50"/>
      <c r="C46" s="61">
        <f>SUM(C40:C45)</f>
        <v>-156412.61000000002</v>
      </c>
      <c r="D46" s="61">
        <f>SUM(D40:D45)</f>
        <v>-156412.61000000002</v>
      </c>
      <c r="E46" s="61">
        <f>SUM(E40:E45)</f>
        <v>-156412.61000000002</v>
      </c>
      <c r="F46" s="61">
        <f>SUM(F40:F45)</f>
        <v>-156412.61000000002</v>
      </c>
    </row>
    <row r="47" spans="1:9" x14ac:dyDescent="0.2">
      <c r="A47" s="50"/>
      <c r="B47" s="50"/>
      <c r="C47" s="61"/>
      <c r="D47" s="61"/>
      <c r="E47" s="61"/>
      <c r="F47" s="61"/>
    </row>
    <row r="48" spans="1:9" x14ac:dyDescent="0.2">
      <c r="A48" s="66" t="s">
        <v>184</v>
      </c>
      <c r="B48" s="66"/>
      <c r="C48" s="67">
        <f>C36+C46</f>
        <v>36745.75999999998</v>
      </c>
      <c r="D48" s="67" t="e">
        <f>D36+D46</f>
        <v>#REF!</v>
      </c>
      <c r="E48" s="67" t="e">
        <f>E36+E46</f>
        <v>#REF!</v>
      </c>
      <c r="F48" s="67" t="e">
        <f>F36+F46</f>
        <v>#REF!</v>
      </c>
    </row>
    <row r="50" spans="1:9" x14ac:dyDescent="0.2">
      <c r="A50" s="68" t="s">
        <v>401</v>
      </c>
      <c r="B50" s="68"/>
      <c r="C50" s="69">
        <f>C4+C36+C46</f>
        <v>74160.34</v>
      </c>
      <c r="D50" s="69" t="e">
        <f>D4+D36+D46</f>
        <v>#REF!</v>
      </c>
      <c r="E50" s="69" t="e">
        <f>E4+E36+E46</f>
        <v>#REF!</v>
      </c>
      <c r="F50" s="69" t="e">
        <f>F4+F36+F46</f>
        <v>#REF!</v>
      </c>
      <c r="I50" s="70"/>
    </row>
    <row r="51" spans="1:9" s="121" customFormat="1" x14ac:dyDescent="0.2">
      <c r="A51" s="121" t="s">
        <v>402</v>
      </c>
      <c r="C51" s="122"/>
      <c r="D51" s="122"/>
      <c r="E51" s="122"/>
      <c r="F51" s="122">
        <v>74160.13</v>
      </c>
      <c r="G51" s="123"/>
    </row>
    <row r="52" spans="1:9" s="53" customFormat="1" ht="13.5" thickBot="1" x14ac:dyDescent="0.25">
      <c r="A52" s="51"/>
      <c r="B52" s="51"/>
      <c r="G52" s="54"/>
      <c r="H52" s="51"/>
      <c r="I52" s="51"/>
    </row>
    <row r="53" spans="1:9" s="53" customFormat="1" ht="13.5" thickBot="1" x14ac:dyDescent="0.25">
      <c r="A53" s="71" t="s">
        <v>186</v>
      </c>
      <c r="B53" s="71"/>
      <c r="C53" s="71"/>
      <c r="E53" s="60"/>
      <c r="G53" s="54"/>
      <c r="H53" s="51"/>
      <c r="I53" s="51"/>
    </row>
    <row r="54" spans="1:9" s="53" customFormat="1" x14ac:dyDescent="0.2">
      <c r="A54" s="51" t="s">
        <v>187</v>
      </c>
      <c r="B54" s="51"/>
      <c r="E54" s="60"/>
      <c r="G54" s="54"/>
      <c r="H54" s="51"/>
      <c r="I54" s="51"/>
    </row>
    <row r="55" spans="1:9" s="53" customFormat="1" x14ac:dyDescent="0.2">
      <c r="A55" s="51" t="s">
        <v>188</v>
      </c>
      <c r="B55" s="51"/>
      <c r="E55" s="60"/>
      <c r="G55" s="54"/>
      <c r="H55" s="51"/>
      <c r="I55" s="51"/>
    </row>
    <row r="56" spans="1:9" s="53" customFormat="1" x14ac:dyDescent="0.2">
      <c r="A56" s="51" t="s">
        <v>189</v>
      </c>
      <c r="B56" s="51"/>
      <c r="E56" s="60"/>
      <c r="G56" s="54"/>
      <c r="H56" s="51"/>
      <c r="I56" s="51"/>
    </row>
    <row r="57" spans="1:9" s="53" customFormat="1" x14ac:dyDescent="0.2">
      <c r="A57" s="51" t="s">
        <v>190</v>
      </c>
      <c r="B57" s="51"/>
      <c r="G57" s="54"/>
      <c r="H57" s="51"/>
      <c r="I57" s="51"/>
    </row>
    <row r="58" spans="1:9" s="53" customFormat="1" x14ac:dyDescent="0.2">
      <c r="A58" s="72" t="s">
        <v>191</v>
      </c>
      <c r="B58" s="51"/>
      <c r="E58" s="60"/>
      <c r="F58" s="60"/>
      <c r="G58" s="54"/>
      <c r="H58" s="51"/>
      <c r="I58" s="51"/>
    </row>
    <row r="59" spans="1:9" s="53" customFormat="1" x14ac:dyDescent="0.2">
      <c r="A59" s="73" t="s">
        <v>192</v>
      </c>
      <c r="B59" s="51"/>
      <c r="G59" s="54"/>
      <c r="H59" s="51"/>
      <c r="I59" s="51"/>
    </row>
    <row r="60" spans="1:9" s="53" customFormat="1" x14ac:dyDescent="0.2">
      <c r="A60" s="74" t="s">
        <v>193</v>
      </c>
      <c r="B60" s="51"/>
      <c r="G60" s="54"/>
      <c r="H60" s="51"/>
      <c r="I60" s="51"/>
    </row>
    <row r="61" spans="1:9" s="53" customFormat="1" x14ac:dyDescent="0.2">
      <c r="A61" s="51"/>
      <c r="B61" s="50"/>
      <c r="C61" s="50"/>
      <c r="G61" s="54"/>
      <c r="H61" s="51"/>
      <c r="I61" s="51"/>
    </row>
  </sheetData>
  <pageMargins left="0.7" right="0.7" top="0.75" bottom="0.75" header="0.3" footer="0.3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theme="1" tint="0.249977111117893"/>
    <pageSetUpPr fitToPage="1"/>
  </sheetPr>
  <dimension ref="A1:S91"/>
  <sheetViews>
    <sheetView zoomScale="80" zoomScaleNormal="80" workbookViewId="0">
      <pane xSplit="4" ySplit="6" topLeftCell="E25" activePane="bottomRight" state="frozen"/>
      <selection pane="topRight" activeCell="F51" sqref="F51"/>
      <selection pane="bottomLeft" activeCell="F51" sqref="F51"/>
      <selection pane="bottomRight" activeCell="F51" sqref="F51"/>
    </sheetView>
  </sheetViews>
  <sheetFormatPr defaultRowHeight="15" x14ac:dyDescent="0.25"/>
  <cols>
    <col min="1" max="1" width="35.7109375" bestFit="1" customWidth="1"/>
    <col min="2" max="2" width="1" customWidth="1"/>
    <col min="3" max="3" width="8.7109375" customWidth="1"/>
    <col min="4" max="4" width="1" customWidth="1"/>
    <col min="5" max="6" width="8.7109375" customWidth="1"/>
    <col min="7" max="7" width="9.5703125" bestFit="1" customWidth="1"/>
    <col min="8" max="9" width="8.7109375" customWidth="1"/>
    <col min="10" max="10" width="67.140625" bestFit="1" customWidth="1"/>
    <col min="11" max="11" width="24.28515625" bestFit="1" customWidth="1"/>
    <col min="12" max="12" width="1" customWidth="1"/>
    <col min="14" max="14" width="11.28515625" bestFit="1" customWidth="1"/>
    <col min="18" max="18" width="8.5703125" bestFit="1" customWidth="1"/>
  </cols>
  <sheetData>
    <row r="1" spans="1:19" x14ac:dyDescent="0.25">
      <c r="A1" s="1" t="s">
        <v>0</v>
      </c>
    </row>
    <row r="2" spans="1:19" x14ac:dyDescent="0.25">
      <c r="A2" t="s">
        <v>243</v>
      </c>
    </row>
    <row r="3" spans="1:19" x14ac:dyDescent="0.25">
      <c r="A3" s="37" t="str">
        <f>'Feb 18'!A2</f>
        <v>Last updated: 5th Mar 2018</v>
      </c>
    </row>
    <row r="4" spans="1:19" s="3" customFormat="1" x14ac:dyDescent="0.25">
      <c r="A4" s="85"/>
      <c r="C4" s="5"/>
      <c r="E4" s="98" t="s">
        <v>403</v>
      </c>
      <c r="F4" s="98" t="s">
        <v>404</v>
      </c>
      <c r="G4" s="98" t="s">
        <v>405</v>
      </c>
      <c r="H4" s="98" t="s">
        <v>406</v>
      </c>
      <c r="I4" s="98" t="s">
        <v>407</v>
      </c>
      <c r="K4" s="85" t="s">
        <v>244</v>
      </c>
      <c r="M4" s="98" t="s">
        <v>403</v>
      </c>
      <c r="N4" s="98" t="s">
        <v>404</v>
      </c>
      <c r="O4" s="98" t="s">
        <v>405</v>
      </c>
      <c r="P4" s="98" t="s">
        <v>406</v>
      </c>
      <c r="Q4" s="98" t="s">
        <v>407</v>
      </c>
      <c r="R4" s="5" t="s">
        <v>245</v>
      </c>
    </row>
    <row r="5" spans="1:19" s="3" customFormat="1" ht="6.95" customHeight="1" x14ac:dyDescent="0.25"/>
    <row r="6" spans="1:19" x14ac:dyDescent="0.25">
      <c r="A6" s="1" t="s">
        <v>250</v>
      </c>
      <c r="C6" s="78"/>
      <c r="E6" s="86">
        <f>'Jan Zoom'!H35</f>
        <v>121117.30000000002</v>
      </c>
      <c r="F6" s="86">
        <f>E44</f>
        <v>149677.87000000002</v>
      </c>
      <c r="G6" s="86">
        <f>F44</f>
        <v>137517.96000000002</v>
      </c>
      <c r="H6" s="86">
        <f>G44</f>
        <v>148826.54</v>
      </c>
      <c r="I6" s="86">
        <f>H44</f>
        <v>115933.13</v>
      </c>
      <c r="K6" s="1" t="s">
        <v>251</v>
      </c>
    </row>
    <row r="7" spans="1:19" x14ac:dyDescent="0.25">
      <c r="C7" s="78"/>
      <c r="E7" s="78"/>
      <c r="F7" s="78"/>
      <c r="G7" s="78"/>
      <c r="H7" s="78"/>
      <c r="I7" s="78"/>
      <c r="M7" s="78"/>
      <c r="N7" s="78"/>
      <c r="R7" s="99"/>
    </row>
    <row r="8" spans="1:19" x14ac:dyDescent="0.25">
      <c r="A8" s="1" t="s">
        <v>252</v>
      </c>
      <c r="C8" s="78"/>
      <c r="E8" s="78"/>
      <c r="F8" s="78"/>
      <c r="G8" s="78"/>
      <c r="H8" s="78"/>
      <c r="I8" s="78"/>
      <c r="K8" t="s">
        <v>253</v>
      </c>
      <c r="N8" s="78"/>
      <c r="O8" s="78"/>
      <c r="P8" s="78"/>
      <c r="Q8" s="78"/>
      <c r="R8" s="99">
        <v>43128</v>
      </c>
    </row>
    <row r="9" spans="1:19" x14ac:dyDescent="0.25">
      <c r="A9" t="s">
        <v>152</v>
      </c>
      <c r="C9" s="78">
        <v>8750</v>
      </c>
      <c r="E9" s="78"/>
      <c r="F9" s="78"/>
      <c r="G9" s="78"/>
      <c r="H9" s="78"/>
      <c r="I9" s="78"/>
      <c r="K9" t="s">
        <v>255</v>
      </c>
      <c r="N9" s="78"/>
      <c r="O9" s="78"/>
      <c r="P9" s="78">
        <v>-4200</v>
      </c>
      <c r="R9" s="99"/>
    </row>
    <row r="10" spans="1:19" x14ac:dyDescent="0.25">
      <c r="A10" t="s">
        <v>408</v>
      </c>
      <c r="C10" s="78">
        <v>5000</v>
      </c>
      <c r="F10" s="78"/>
      <c r="K10" t="s">
        <v>256</v>
      </c>
      <c r="N10" s="78"/>
      <c r="O10" s="78"/>
      <c r="P10" s="78"/>
      <c r="Q10" s="78"/>
      <c r="R10" s="99"/>
    </row>
    <row r="11" spans="1:19" x14ac:dyDescent="0.25">
      <c r="A11" t="s">
        <v>409</v>
      </c>
      <c r="C11" s="78">
        <v>10000</v>
      </c>
      <c r="E11" s="78"/>
      <c r="F11" s="78"/>
      <c r="G11" s="78"/>
      <c r="H11" s="78">
        <v>10000</v>
      </c>
      <c r="I11" s="78"/>
      <c r="J11" t="s">
        <v>410</v>
      </c>
      <c r="K11" t="s">
        <v>350</v>
      </c>
      <c r="N11" s="78"/>
      <c r="O11" s="78"/>
      <c r="P11" s="78"/>
      <c r="R11" s="99"/>
      <c r="S11" t="s">
        <v>351</v>
      </c>
    </row>
    <row r="12" spans="1:19" x14ac:dyDescent="0.25">
      <c r="A12" t="s">
        <v>378</v>
      </c>
      <c r="C12" s="78">
        <v>22500</v>
      </c>
      <c r="F12" s="78"/>
      <c r="G12" s="78"/>
      <c r="H12" s="78"/>
      <c r="I12" s="78"/>
      <c r="K12" t="s">
        <v>257</v>
      </c>
      <c r="N12" s="78">
        <v>-386.02</v>
      </c>
      <c r="Q12" s="78">
        <v>-456.03</v>
      </c>
      <c r="R12" s="99">
        <v>43101</v>
      </c>
    </row>
    <row r="13" spans="1:19" x14ac:dyDescent="0.25">
      <c r="A13" t="s">
        <v>411</v>
      </c>
      <c r="C13" s="78">
        <v>15000</v>
      </c>
      <c r="F13" s="78"/>
      <c r="G13" s="78"/>
      <c r="H13" s="78"/>
      <c r="I13" s="78"/>
      <c r="K13" t="s">
        <v>412</v>
      </c>
      <c r="N13" s="78"/>
      <c r="Q13" s="78"/>
      <c r="R13" s="99"/>
      <c r="S13" t="s">
        <v>351</v>
      </c>
    </row>
    <row r="14" spans="1:19" x14ac:dyDescent="0.25">
      <c r="A14" t="s">
        <v>224</v>
      </c>
      <c r="C14" s="78">
        <v>5000</v>
      </c>
      <c r="F14" s="78"/>
      <c r="G14" s="78"/>
      <c r="H14" s="78"/>
      <c r="I14" s="78"/>
      <c r="K14" t="s">
        <v>413</v>
      </c>
      <c r="N14" s="78"/>
      <c r="Q14" s="78">
        <v>-3000</v>
      </c>
      <c r="R14" s="99"/>
    </row>
    <row r="15" spans="1:19" x14ac:dyDescent="0.25">
      <c r="A15" t="s">
        <v>414</v>
      </c>
      <c r="C15" s="78">
        <v>10000</v>
      </c>
      <c r="F15" s="78"/>
      <c r="G15" s="78"/>
      <c r="H15" s="78"/>
      <c r="I15" s="78"/>
      <c r="K15" t="s">
        <v>264</v>
      </c>
      <c r="P15" s="78">
        <v>-256.12</v>
      </c>
      <c r="R15" s="3"/>
    </row>
    <row r="16" spans="1:19" x14ac:dyDescent="0.25">
      <c r="A16" t="s">
        <v>228</v>
      </c>
      <c r="C16" s="102">
        <v>28907</v>
      </c>
      <c r="E16" s="78">
        <v>28907</v>
      </c>
      <c r="F16" s="78"/>
      <c r="G16" s="78"/>
      <c r="J16" t="s">
        <v>415</v>
      </c>
      <c r="K16" t="s">
        <v>269</v>
      </c>
      <c r="P16" s="78">
        <v>-507.6</v>
      </c>
      <c r="Q16" s="78"/>
      <c r="R16" s="3"/>
    </row>
    <row r="17" spans="1:19" x14ac:dyDescent="0.25">
      <c r="C17" s="78"/>
      <c r="E17" s="78"/>
      <c r="F17" s="78"/>
      <c r="G17" s="78"/>
      <c r="H17" s="78"/>
      <c r="I17" s="78"/>
      <c r="J17" t="s">
        <v>224</v>
      </c>
      <c r="K17" t="s">
        <v>416</v>
      </c>
      <c r="N17" s="78">
        <v>-2394</v>
      </c>
      <c r="O17" s="78"/>
      <c r="P17" s="78"/>
      <c r="Q17" s="78"/>
      <c r="R17" s="99"/>
    </row>
    <row r="18" spans="1:19" x14ac:dyDescent="0.25">
      <c r="A18" t="s">
        <v>417</v>
      </c>
      <c r="C18" s="78">
        <v>7325</v>
      </c>
      <c r="E18" s="78"/>
      <c r="F18" s="78"/>
      <c r="G18" s="78"/>
      <c r="H18" s="78"/>
      <c r="I18" s="78"/>
      <c r="K18" t="s">
        <v>418</v>
      </c>
      <c r="N18" s="78"/>
      <c r="O18" s="78">
        <v>-3484</v>
      </c>
      <c r="R18" s="99"/>
      <c r="S18" s="1" t="s">
        <v>262</v>
      </c>
    </row>
    <row r="19" spans="1:19" x14ac:dyDescent="0.25">
      <c r="A19" t="s">
        <v>321</v>
      </c>
      <c r="C19" s="78"/>
      <c r="E19" s="78"/>
      <c r="F19" s="78"/>
      <c r="G19" s="78"/>
      <c r="H19" s="78">
        <v>7500</v>
      </c>
      <c r="I19" s="78"/>
      <c r="J19" t="s">
        <v>419</v>
      </c>
      <c r="K19" t="s">
        <v>261</v>
      </c>
      <c r="N19" s="78"/>
      <c r="P19" s="78"/>
      <c r="Q19" s="78">
        <v>-159.75</v>
      </c>
      <c r="R19" s="3"/>
    </row>
    <row r="20" spans="1:19" x14ac:dyDescent="0.25">
      <c r="A20" t="s">
        <v>420</v>
      </c>
      <c r="C20" s="78">
        <v>21200</v>
      </c>
      <c r="E20" s="78"/>
      <c r="F20" s="78"/>
      <c r="G20" s="78">
        <f>C20</f>
        <v>21200</v>
      </c>
      <c r="H20" s="78"/>
      <c r="I20" s="78"/>
      <c r="J20" t="s">
        <v>421</v>
      </c>
      <c r="K20" t="s">
        <v>263</v>
      </c>
      <c r="N20" s="78">
        <v>-2700</v>
      </c>
      <c r="P20" s="78">
        <v>-2664</v>
      </c>
      <c r="R20" s="5"/>
    </row>
    <row r="21" spans="1:19" x14ac:dyDescent="0.25">
      <c r="C21" s="78"/>
      <c r="G21" s="78"/>
      <c r="M21" s="78"/>
      <c r="N21" s="78"/>
      <c r="O21" s="78"/>
      <c r="P21" s="78"/>
      <c r="Q21" s="78"/>
      <c r="R21" s="3"/>
    </row>
    <row r="22" spans="1:19" x14ac:dyDescent="0.25">
      <c r="C22" s="78"/>
      <c r="E22" s="78"/>
      <c r="F22" s="78"/>
      <c r="G22" s="78"/>
      <c r="H22" s="78"/>
      <c r="I22" s="78"/>
      <c r="K22" t="s">
        <v>360</v>
      </c>
      <c r="N22" s="78">
        <v>-684</v>
      </c>
      <c r="O22" s="78"/>
      <c r="P22" s="78"/>
      <c r="Q22" s="78">
        <v>-556.20000000000005</v>
      </c>
      <c r="R22" s="99"/>
      <c r="S22" t="s">
        <v>422</v>
      </c>
    </row>
    <row r="23" spans="1:19" x14ac:dyDescent="0.25">
      <c r="A23" t="s">
        <v>423</v>
      </c>
      <c r="C23" s="78">
        <v>25000</v>
      </c>
      <c r="E23" s="78"/>
      <c r="F23" s="78"/>
      <c r="G23" s="78"/>
      <c r="H23" s="78"/>
      <c r="I23" s="78"/>
      <c r="K23" t="s">
        <v>271</v>
      </c>
      <c r="O23" s="78"/>
      <c r="P23" s="78">
        <v>-3969</v>
      </c>
      <c r="R23" s="3"/>
    </row>
    <row r="24" spans="1:19" x14ac:dyDescent="0.25">
      <c r="A24" t="s">
        <v>424</v>
      </c>
      <c r="C24" s="78"/>
      <c r="E24" s="78"/>
      <c r="F24" s="78"/>
      <c r="G24" s="78"/>
      <c r="H24" s="78"/>
      <c r="I24" s="78"/>
      <c r="J24" t="s">
        <v>425</v>
      </c>
      <c r="K24" t="s">
        <v>272</v>
      </c>
      <c r="O24" s="78"/>
      <c r="P24" s="78"/>
      <c r="Q24" s="78">
        <v>-840</v>
      </c>
      <c r="R24" s="3"/>
    </row>
    <row r="25" spans="1:19" x14ac:dyDescent="0.25">
      <c r="K25" t="s">
        <v>275</v>
      </c>
      <c r="N25" s="78">
        <v>-3975.46</v>
      </c>
      <c r="R25" s="3"/>
      <c r="S25" s="101" t="s">
        <v>426</v>
      </c>
    </row>
    <row r="26" spans="1:19" x14ac:dyDescent="0.25">
      <c r="A26" t="s">
        <v>427</v>
      </c>
      <c r="C26" s="78">
        <v>5000</v>
      </c>
      <c r="K26" t="s">
        <v>275</v>
      </c>
      <c r="O26" s="78">
        <v>-3151.97</v>
      </c>
      <c r="Q26" s="78">
        <v>-2412.2399999999998</v>
      </c>
      <c r="R26" s="3"/>
      <c r="S26" s="1" t="s">
        <v>428</v>
      </c>
    </row>
    <row r="27" spans="1:19" x14ac:dyDescent="0.25">
      <c r="K27" t="s">
        <v>280</v>
      </c>
      <c r="M27" s="78"/>
      <c r="N27" s="78"/>
      <c r="Q27" s="78">
        <v>-7940</v>
      </c>
      <c r="R27" s="3"/>
    </row>
    <row r="28" spans="1:19" x14ac:dyDescent="0.25">
      <c r="A28" t="s">
        <v>161</v>
      </c>
      <c r="C28" s="78">
        <v>168.7</v>
      </c>
      <c r="F28" s="78">
        <f>C28</f>
        <v>168.7</v>
      </c>
      <c r="G28" s="78">
        <v>545.41999999999996</v>
      </c>
      <c r="H28" s="2">
        <v>28.95</v>
      </c>
      <c r="I28" s="2">
        <v>149.49</v>
      </c>
      <c r="K28" t="s">
        <v>366</v>
      </c>
      <c r="O28" s="78">
        <v>-3668.37</v>
      </c>
      <c r="P28" s="78"/>
      <c r="Q28" s="78"/>
      <c r="R28" s="3"/>
      <c r="S28" t="s">
        <v>284</v>
      </c>
    </row>
    <row r="29" spans="1:19" x14ac:dyDescent="0.25">
      <c r="A29" t="s">
        <v>288</v>
      </c>
      <c r="C29" s="78">
        <v>103.1</v>
      </c>
      <c r="F29" s="78">
        <f>C29</f>
        <v>103.1</v>
      </c>
      <c r="G29" s="78">
        <v>51.5</v>
      </c>
      <c r="H29" s="2">
        <f>312.49+26.1</f>
        <v>338.59000000000003</v>
      </c>
      <c r="I29" s="2"/>
      <c r="K29" t="s">
        <v>283</v>
      </c>
      <c r="M29" s="78"/>
      <c r="N29" s="78"/>
      <c r="O29" s="78"/>
      <c r="Q29" s="78">
        <v>-1680</v>
      </c>
      <c r="R29" s="3"/>
      <c r="S29" t="s">
        <v>429</v>
      </c>
    </row>
    <row r="30" spans="1:19" x14ac:dyDescent="0.25">
      <c r="A30" t="s">
        <v>430</v>
      </c>
      <c r="C30" s="78"/>
      <c r="F30" s="78"/>
      <c r="G30" s="78"/>
      <c r="H30" s="2"/>
      <c r="I30" s="2">
        <v>228.75</v>
      </c>
      <c r="K30" t="s">
        <v>283</v>
      </c>
      <c r="M30" s="78">
        <f>-2502</f>
        <v>-2502</v>
      </c>
      <c r="R30" s="99"/>
    </row>
    <row r="31" spans="1:19" x14ac:dyDescent="0.25">
      <c r="A31" t="s">
        <v>283</v>
      </c>
      <c r="C31" s="78">
        <v>2502</v>
      </c>
      <c r="E31" s="78">
        <f>C31</f>
        <v>2502</v>
      </c>
      <c r="G31" s="78"/>
      <c r="H31" s="2"/>
      <c r="I31" s="2"/>
      <c r="M31" s="78"/>
      <c r="R31" s="99"/>
    </row>
    <row r="32" spans="1:19" x14ac:dyDescent="0.25">
      <c r="A32" t="s">
        <v>289</v>
      </c>
      <c r="C32" s="78">
        <v>134.22999999999999</v>
      </c>
      <c r="E32" s="78">
        <f>C32</f>
        <v>134.22999999999999</v>
      </c>
      <c r="F32" s="78"/>
      <c r="G32" s="78">
        <f>28+28</f>
        <v>56</v>
      </c>
      <c r="H32" s="78"/>
      <c r="I32" s="78">
        <f>30+5</f>
        <v>35</v>
      </c>
      <c r="K32" t="s">
        <v>285</v>
      </c>
      <c r="M32" s="78"/>
      <c r="N32" s="78"/>
      <c r="P32" s="78">
        <v>-1249.57</v>
      </c>
      <c r="R32" s="3"/>
    </row>
    <row r="33" spans="1:19" x14ac:dyDescent="0.25">
      <c r="C33" s="87">
        <f>SUM(C9:C32)</f>
        <v>166590.03000000003</v>
      </c>
      <c r="E33" s="78"/>
      <c r="F33" s="78"/>
      <c r="G33" s="78"/>
      <c r="H33" s="78"/>
      <c r="I33" s="78"/>
      <c r="K33" t="s">
        <v>286</v>
      </c>
      <c r="M33" s="78"/>
      <c r="N33" s="78"/>
      <c r="O33" s="78"/>
      <c r="R33" s="3"/>
      <c r="S33" t="s">
        <v>374</v>
      </c>
    </row>
    <row r="34" spans="1:19" x14ac:dyDescent="0.25">
      <c r="A34" s="1" t="s">
        <v>290</v>
      </c>
      <c r="C34" s="78"/>
      <c r="E34" s="78"/>
      <c r="F34" s="78"/>
      <c r="G34" s="78"/>
      <c r="H34" s="78"/>
      <c r="I34" s="78"/>
      <c r="N34" s="78"/>
      <c r="O34" s="78"/>
      <c r="R34" s="3"/>
    </row>
    <row r="35" spans="1:19" x14ac:dyDescent="0.25">
      <c r="A35" t="s">
        <v>291</v>
      </c>
      <c r="C35" s="78"/>
      <c r="E35" s="78"/>
      <c r="F35" s="78"/>
      <c r="I35" s="78">
        <v>-75064.789999999994</v>
      </c>
      <c r="J35" t="s">
        <v>431</v>
      </c>
      <c r="M35" s="78"/>
      <c r="N35" s="78"/>
      <c r="O35" s="78"/>
      <c r="P35" s="78"/>
      <c r="Q35" s="78"/>
    </row>
    <row r="36" spans="1:19" x14ac:dyDescent="0.25">
      <c r="A36" t="s">
        <v>294</v>
      </c>
      <c r="C36" s="78"/>
      <c r="E36" s="78"/>
      <c r="F36" s="78"/>
      <c r="H36" s="78">
        <v>-37046.199999999997</v>
      </c>
      <c r="I36" s="78"/>
      <c r="J36" t="s">
        <v>432</v>
      </c>
      <c r="M36" s="86">
        <f>SUM(M7:M35)</f>
        <v>-2502</v>
      </c>
      <c r="N36" s="86">
        <f>SUM(N7:N35)</f>
        <v>-10139.48</v>
      </c>
      <c r="O36" s="86">
        <f>SUM(O7:O35)</f>
        <v>-10304.34</v>
      </c>
      <c r="P36" s="86">
        <f>SUM(P7:P35)</f>
        <v>-12846.29</v>
      </c>
      <c r="Q36" s="86">
        <f>SUM(Q7:Q35)</f>
        <v>-17044.22</v>
      </c>
    </row>
    <row r="37" spans="1:19" x14ac:dyDescent="0.25">
      <c r="A37" t="s">
        <v>296</v>
      </c>
      <c r="C37" s="78"/>
      <c r="E37" s="78"/>
      <c r="F37" s="78">
        <v>-2292.23</v>
      </c>
      <c r="H37" s="78"/>
      <c r="I37" s="78">
        <v>-2068.14</v>
      </c>
      <c r="M37" s="78"/>
      <c r="N37" s="78"/>
      <c r="O37" s="78"/>
      <c r="P37" s="78"/>
      <c r="Q37" s="78"/>
    </row>
    <row r="38" spans="1:19" x14ac:dyDescent="0.25">
      <c r="A38" t="s">
        <v>298</v>
      </c>
      <c r="C38" s="78"/>
      <c r="E38" s="78"/>
      <c r="F38" s="78"/>
      <c r="G38" s="78"/>
      <c r="H38" s="78">
        <v>0</v>
      </c>
      <c r="I38" s="78">
        <v>0</v>
      </c>
      <c r="J38" s="1"/>
      <c r="K38" t="s">
        <v>293</v>
      </c>
      <c r="M38" s="78">
        <v>-480.66</v>
      </c>
      <c r="N38" s="78">
        <v>0</v>
      </c>
      <c r="O38" s="78">
        <v>-240</v>
      </c>
      <c r="P38" s="78">
        <v>-868.46</v>
      </c>
      <c r="Q38" s="78">
        <v>-28</v>
      </c>
    </row>
    <row r="39" spans="1:19" x14ac:dyDescent="0.25">
      <c r="A39" t="s">
        <v>299</v>
      </c>
      <c r="C39" s="78"/>
      <c r="E39" s="78">
        <f>M40</f>
        <v>-2982.66</v>
      </c>
      <c r="F39" s="78">
        <f>N40</f>
        <v>-10139.48</v>
      </c>
      <c r="G39" s="78">
        <f>O40</f>
        <v>-10544.34</v>
      </c>
      <c r="H39" s="78">
        <f>P40</f>
        <v>-13714.75</v>
      </c>
      <c r="I39" s="78">
        <f>Q40</f>
        <v>-17072.22</v>
      </c>
      <c r="J39" s="88">
        <f>SUM(E39:I39)</f>
        <v>-54453.45</v>
      </c>
      <c r="M39" s="78"/>
      <c r="N39" s="78"/>
      <c r="O39" s="78"/>
      <c r="P39" s="78"/>
      <c r="Q39" s="78"/>
    </row>
    <row r="40" spans="1:19" x14ac:dyDescent="0.25">
      <c r="A40" s="1" t="s">
        <v>300</v>
      </c>
      <c r="C40" s="78"/>
      <c r="E40" s="89">
        <f>SUM(E35:E39)</f>
        <v>-2982.66</v>
      </c>
      <c r="F40" s="89">
        <f>SUM(F35:F39)</f>
        <v>-12431.71</v>
      </c>
      <c r="G40" s="89">
        <f>SUM(G35:G39)</f>
        <v>-10544.34</v>
      </c>
      <c r="H40" s="89">
        <f>SUM(H35:H39)</f>
        <v>-50760.95</v>
      </c>
      <c r="I40" s="89">
        <f>SUM(I35:I39)</f>
        <v>-94205.15</v>
      </c>
      <c r="J40" s="88">
        <f>SUM(E40:I40)</f>
        <v>-170924.81</v>
      </c>
      <c r="K40" s="1" t="s">
        <v>297</v>
      </c>
      <c r="L40" s="1"/>
      <c r="M40" s="86">
        <f>M38+M36</f>
        <v>-2982.66</v>
      </c>
      <c r="N40" s="86">
        <f>N38+N36</f>
        <v>-10139.48</v>
      </c>
      <c r="O40" s="86">
        <f>O38+O36</f>
        <v>-10544.34</v>
      </c>
      <c r="P40" s="86">
        <f>P38+P36</f>
        <v>-13714.75</v>
      </c>
      <c r="Q40" s="86">
        <f>Q38+Q36</f>
        <v>-17072.22</v>
      </c>
      <c r="R40" s="88">
        <f>SUM(M40:Q40)</f>
        <v>-54453.45</v>
      </c>
    </row>
    <row r="41" spans="1:19" x14ac:dyDescent="0.25">
      <c r="A41" s="104" t="s">
        <v>302</v>
      </c>
      <c r="C41" s="78"/>
      <c r="E41" s="103">
        <v>-4589.4099999999989</v>
      </c>
      <c r="F41" s="103">
        <v>-12431.71</v>
      </c>
      <c r="G41" s="103">
        <v>-10544.34</v>
      </c>
      <c r="H41" s="103">
        <v>-50761</v>
      </c>
      <c r="I41" s="103">
        <v>-94205.15</v>
      </c>
      <c r="K41" s="1"/>
      <c r="L41" s="1"/>
      <c r="M41" s="86"/>
      <c r="N41" s="86"/>
      <c r="O41" s="86"/>
      <c r="P41" s="86"/>
      <c r="Q41" s="86"/>
      <c r="R41" s="88"/>
    </row>
    <row r="42" spans="1:19" x14ac:dyDescent="0.25">
      <c r="A42" s="1" t="s">
        <v>303</v>
      </c>
      <c r="C42" s="78"/>
      <c r="E42" s="78">
        <f>SUM(E8:E33)+E40</f>
        <v>28560.57</v>
      </c>
      <c r="F42" s="78">
        <f>SUM(F8:F33)+F40</f>
        <v>-12159.91</v>
      </c>
      <c r="G42" s="78">
        <f>SUM(G8:G33)+G40</f>
        <v>11308.579999999998</v>
      </c>
      <c r="H42" s="78">
        <f>SUM(H8:H33)+H40</f>
        <v>-32893.409999999996</v>
      </c>
      <c r="I42" s="78">
        <f>SUM(I8:I33)+I40</f>
        <v>-93791.909999999989</v>
      </c>
      <c r="M42" s="78"/>
      <c r="N42" s="78"/>
      <c r="O42" s="78"/>
      <c r="P42" s="78"/>
      <c r="Q42" s="78"/>
    </row>
    <row r="43" spans="1:19" x14ac:dyDescent="0.25">
      <c r="C43" s="78"/>
      <c r="E43" s="78"/>
      <c r="F43" s="78"/>
      <c r="G43" s="78"/>
      <c r="H43" s="78"/>
      <c r="I43" s="78"/>
      <c r="K43" t="s">
        <v>301</v>
      </c>
      <c r="M43" s="78"/>
      <c r="N43" s="78"/>
      <c r="O43" s="78"/>
      <c r="P43" s="78"/>
      <c r="Q43" s="78"/>
    </row>
    <row r="44" spans="1:19" x14ac:dyDescent="0.25">
      <c r="A44" s="1" t="s">
        <v>304</v>
      </c>
      <c r="C44" s="78"/>
      <c r="E44" s="86">
        <f>E6+E42</f>
        <v>149677.87000000002</v>
      </c>
      <c r="F44" s="86">
        <f>F6+F42</f>
        <v>137517.96000000002</v>
      </c>
      <c r="G44" s="86">
        <f>G6+G42</f>
        <v>148826.54</v>
      </c>
      <c r="H44" s="86">
        <f>H6+H42</f>
        <v>115933.13</v>
      </c>
      <c r="I44" s="86">
        <f>I6+I42</f>
        <v>22141.220000000016</v>
      </c>
      <c r="M44" s="78"/>
      <c r="N44" s="78"/>
      <c r="O44" s="78"/>
      <c r="P44" s="78"/>
      <c r="Q44" s="78"/>
    </row>
    <row r="45" spans="1:19" x14ac:dyDescent="0.25">
      <c r="A45" t="s">
        <v>305</v>
      </c>
      <c r="C45" s="78"/>
      <c r="E45" s="78">
        <v>149677.89000000001</v>
      </c>
      <c r="F45" s="78">
        <v>137517.98000000001</v>
      </c>
      <c r="G45" s="78">
        <v>152310.56</v>
      </c>
      <c r="H45" s="78">
        <v>115933.13</v>
      </c>
      <c r="I45" s="78">
        <v>22141.22</v>
      </c>
      <c r="M45" s="78"/>
      <c r="N45" s="78"/>
      <c r="O45" s="78"/>
      <c r="P45" s="78"/>
      <c r="Q45" s="78"/>
    </row>
    <row r="46" spans="1:19" x14ac:dyDescent="0.25">
      <c r="C46" s="78"/>
      <c r="E46" s="78"/>
      <c r="F46" s="78"/>
      <c r="G46" s="78"/>
      <c r="H46" s="109"/>
      <c r="I46" s="78"/>
      <c r="M46" s="78"/>
      <c r="N46" s="78"/>
      <c r="O46" s="78"/>
      <c r="P46" s="78"/>
      <c r="Q46" s="78"/>
    </row>
    <row r="47" spans="1:19" x14ac:dyDescent="0.25">
      <c r="A47" s="104" t="s">
        <v>306</v>
      </c>
      <c r="C47" s="78"/>
      <c r="E47" s="78">
        <f>E40-E41</f>
        <v>1606.7499999999991</v>
      </c>
      <c r="F47" s="78">
        <f>F40-F41</f>
        <v>0</v>
      </c>
      <c r="G47" s="78">
        <f>G40-G41</f>
        <v>0</v>
      </c>
      <c r="H47" s="78">
        <f>H40-H41</f>
        <v>5.0000000002910383E-2</v>
      </c>
      <c r="I47" s="78">
        <f>I40-I41</f>
        <v>0</v>
      </c>
      <c r="M47" s="78"/>
      <c r="N47" s="78"/>
      <c r="O47" s="78"/>
      <c r="P47" s="78"/>
      <c r="Q47" s="78"/>
    </row>
    <row r="48" spans="1:19" x14ac:dyDescent="0.25">
      <c r="C48" s="78"/>
      <c r="E48" s="78"/>
      <c r="F48" s="78"/>
      <c r="G48" s="78"/>
      <c r="H48" s="78"/>
      <c r="I48" s="78"/>
      <c r="M48" s="78"/>
      <c r="N48" s="78"/>
      <c r="O48" s="78"/>
      <c r="P48" s="78"/>
      <c r="Q48" s="78"/>
    </row>
    <row r="49" spans="1:17" x14ac:dyDescent="0.25">
      <c r="C49" s="78"/>
      <c r="E49" s="78"/>
      <c r="F49" s="78"/>
      <c r="G49" s="78"/>
      <c r="H49" s="78"/>
      <c r="I49" s="78"/>
      <c r="M49" s="78"/>
      <c r="N49" s="78"/>
      <c r="O49" s="78"/>
      <c r="P49" s="78"/>
      <c r="Q49" s="78"/>
    </row>
    <row r="50" spans="1:17" x14ac:dyDescent="0.25">
      <c r="C50" s="78"/>
      <c r="E50" s="78"/>
      <c r="F50" s="78"/>
      <c r="G50" s="78"/>
      <c r="H50" s="78"/>
      <c r="I50" s="78"/>
      <c r="M50" s="78"/>
      <c r="N50" s="78"/>
      <c r="O50" s="78"/>
      <c r="P50" s="78"/>
      <c r="Q50" s="78"/>
    </row>
    <row r="51" spans="1:17" x14ac:dyDescent="0.25">
      <c r="C51" s="78"/>
      <c r="E51" s="78"/>
      <c r="F51" s="78"/>
      <c r="G51" s="78"/>
      <c r="H51" s="78"/>
      <c r="I51" s="78"/>
      <c r="M51" s="78"/>
      <c r="N51" s="78"/>
      <c r="O51" s="78"/>
      <c r="P51" s="78"/>
      <c r="Q51" s="78"/>
    </row>
    <row r="52" spans="1:17" x14ac:dyDescent="0.25">
      <c r="C52" s="78"/>
      <c r="E52" s="78"/>
      <c r="F52" s="78"/>
      <c r="G52" s="78"/>
      <c r="H52" s="78"/>
      <c r="I52" s="78"/>
      <c r="M52" s="78"/>
      <c r="N52" s="78"/>
      <c r="O52" s="78"/>
      <c r="P52" s="78"/>
      <c r="Q52" s="78"/>
    </row>
    <row r="53" spans="1:17" x14ac:dyDescent="0.25">
      <c r="C53" s="78"/>
      <c r="E53" s="78"/>
      <c r="F53" s="78"/>
      <c r="G53" s="78"/>
      <c r="H53" s="78"/>
      <c r="I53" s="78"/>
      <c r="M53" s="78"/>
      <c r="N53" s="78"/>
      <c r="O53" s="78"/>
      <c r="P53" s="78"/>
      <c r="Q53" s="78"/>
    </row>
    <row r="54" spans="1:17" x14ac:dyDescent="0.25">
      <c r="C54" s="78"/>
      <c r="E54" s="78"/>
      <c r="F54" s="78"/>
      <c r="G54" s="78"/>
      <c r="H54" s="78"/>
      <c r="I54" s="78"/>
      <c r="M54" s="78"/>
      <c r="N54" s="78"/>
      <c r="O54" s="78"/>
      <c r="P54" s="78"/>
      <c r="Q54" s="78"/>
    </row>
    <row r="55" spans="1:17" x14ac:dyDescent="0.25">
      <c r="C55" s="78"/>
      <c r="E55" s="78"/>
      <c r="F55" s="78"/>
      <c r="G55" s="78"/>
      <c r="H55" s="78"/>
      <c r="I55" s="78"/>
      <c r="M55" s="78"/>
      <c r="N55" s="78"/>
      <c r="O55" s="78"/>
      <c r="P55" s="78"/>
      <c r="Q55" s="78"/>
    </row>
    <row r="56" spans="1:17" x14ac:dyDescent="0.25">
      <c r="A56" s="85" t="s">
        <v>244</v>
      </c>
      <c r="B56" s="3"/>
      <c r="C56" s="5"/>
      <c r="D56" s="3"/>
      <c r="E56" s="98" t="s">
        <v>433</v>
      </c>
      <c r="F56" s="98" t="s">
        <v>434</v>
      </c>
      <c r="G56" s="98" t="s">
        <v>435</v>
      </c>
      <c r="H56" s="98" t="s">
        <v>436</v>
      </c>
      <c r="I56" s="98"/>
      <c r="J56" s="3"/>
      <c r="M56" s="78"/>
      <c r="N56" s="78"/>
      <c r="O56" s="78"/>
      <c r="P56" s="78"/>
      <c r="Q56" s="78"/>
    </row>
    <row r="57" spans="1:17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M57" s="78"/>
      <c r="N57" s="78"/>
      <c r="O57" s="78"/>
      <c r="P57" s="78"/>
      <c r="Q57" s="78"/>
    </row>
    <row r="58" spans="1:17" x14ac:dyDescent="0.25">
      <c r="A58" s="1" t="s">
        <v>250</v>
      </c>
      <c r="C58" s="78"/>
      <c r="E58" s="86">
        <v>113106.19</v>
      </c>
      <c r="F58" s="86">
        <f>E91</f>
        <v>115257.76000000001</v>
      </c>
      <c r="G58" s="86">
        <f>F91</f>
        <v>109076.05000000002</v>
      </c>
      <c r="H58" s="86">
        <f>G91</f>
        <v>339230.46</v>
      </c>
      <c r="I58" s="86"/>
      <c r="M58" s="78"/>
      <c r="N58" s="78"/>
      <c r="O58" s="78"/>
      <c r="P58" s="78"/>
      <c r="Q58" s="78"/>
    </row>
    <row r="59" spans="1:17" x14ac:dyDescent="0.25">
      <c r="C59" s="78"/>
      <c r="E59" s="78"/>
      <c r="F59" s="78"/>
      <c r="G59" s="78"/>
      <c r="H59" s="78"/>
      <c r="I59" s="78"/>
      <c r="M59" s="78"/>
      <c r="N59" s="78"/>
      <c r="O59" s="78"/>
      <c r="P59" s="78"/>
      <c r="Q59" s="78"/>
    </row>
    <row r="60" spans="1:17" x14ac:dyDescent="0.25">
      <c r="A60" s="1" t="s">
        <v>437</v>
      </c>
      <c r="C60" s="78"/>
      <c r="E60" s="78"/>
      <c r="F60" s="78"/>
      <c r="G60" s="78"/>
      <c r="H60" s="78"/>
      <c r="I60" s="78"/>
      <c r="M60" s="78"/>
      <c r="N60" s="78"/>
      <c r="O60" s="78"/>
      <c r="P60" s="78"/>
      <c r="Q60" s="78"/>
    </row>
    <row r="61" spans="1:17" x14ac:dyDescent="0.25">
      <c r="A61" t="s">
        <v>438</v>
      </c>
      <c r="C61" s="78">
        <v>18000</v>
      </c>
      <c r="E61" s="78"/>
      <c r="F61" s="78"/>
      <c r="G61" s="78"/>
      <c r="H61" s="78">
        <f>C61</f>
        <v>18000</v>
      </c>
      <c r="I61" s="78"/>
      <c r="J61">
        <f>J10</f>
        <v>0</v>
      </c>
      <c r="M61" s="78"/>
      <c r="N61" s="78"/>
      <c r="O61" s="78"/>
      <c r="P61" s="78"/>
      <c r="Q61" s="78"/>
    </row>
    <row r="62" spans="1:17" x14ac:dyDescent="0.25">
      <c r="A62" t="s">
        <v>439</v>
      </c>
      <c r="C62" s="78">
        <v>75000</v>
      </c>
      <c r="E62" s="78"/>
      <c r="F62" s="78"/>
      <c r="G62" s="78">
        <f>C62</f>
        <v>75000</v>
      </c>
      <c r="H62" s="78"/>
      <c r="I62" s="78"/>
    </row>
    <row r="63" spans="1:17" x14ac:dyDescent="0.25">
      <c r="A63" s="84" t="s">
        <v>349</v>
      </c>
      <c r="B63" s="84"/>
      <c r="C63" s="90">
        <v>25000</v>
      </c>
      <c r="E63" s="78"/>
      <c r="F63" s="78"/>
      <c r="G63" s="78"/>
      <c r="H63" s="78"/>
      <c r="I63" s="78"/>
      <c r="J63" t="s">
        <v>440</v>
      </c>
    </row>
    <row r="64" spans="1:17" x14ac:dyDescent="0.25">
      <c r="A64" s="84" t="s">
        <v>224</v>
      </c>
      <c r="B64" s="84"/>
      <c r="C64" s="90">
        <v>20000</v>
      </c>
      <c r="E64" s="78"/>
      <c r="F64" s="78"/>
      <c r="G64" s="78"/>
      <c r="H64" s="78"/>
      <c r="I64" s="78"/>
      <c r="J64" t="s">
        <v>440</v>
      </c>
    </row>
    <row r="65" spans="1:10" x14ac:dyDescent="0.25">
      <c r="A65" t="s">
        <v>441</v>
      </c>
      <c r="C65" s="78">
        <v>7171</v>
      </c>
      <c r="E65" s="78"/>
      <c r="F65" s="78"/>
      <c r="G65" s="78">
        <f>C65</f>
        <v>7171</v>
      </c>
      <c r="H65" s="78"/>
      <c r="I65" s="78"/>
    </row>
    <row r="66" spans="1:10" x14ac:dyDescent="0.25">
      <c r="A66" t="s">
        <v>442</v>
      </c>
      <c r="C66" s="78">
        <v>125000</v>
      </c>
      <c r="E66" s="78"/>
      <c r="F66" s="78"/>
      <c r="G66" s="78">
        <f>C66</f>
        <v>125000</v>
      </c>
      <c r="H66" s="78"/>
      <c r="I66" s="78"/>
    </row>
    <row r="67" spans="1:10" x14ac:dyDescent="0.25">
      <c r="A67" t="s">
        <v>443</v>
      </c>
      <c r="C67" s="78">
        <v>30000</v>
      </c>
      <c r="E67" s="78"/>
      <c r="F67" s="78"/>
      <c r="G67" s="78"/>
      <c r="H67" s="78"/>
      <c r="I67" s="78"/>
    </row>
    <row r="68" spans="1:10" x14ac:dyDescent="0.25">
      <c r="A68" s="84" t="s">
        <v>444</v>
      </c>
      <c r="B68" s="84"/>
      <c r="C68" s="90">
        <v>5000</v>
      </c>
      <c r="E68" s="78"/>
      <c r="F68" s="78"/>
      <c r="G68" s="78"/>
      <c r="H68" s="78"/>
      <c r="I68" s="78"/>
      <c r="J68" t="s">
        <v>440</v>
      </c>
    </row>
    <row r="69" spans="1:10" x14ac:dyDescent="0.25">
      <c r="A69" t="s">
        <v>445</v>
      </c>
      <c r="C69" s="78">
        <v>33471.75</v>
      </c>
      <c r="F69" s="78"/>
      <c r="G69" s="78">
        <f>C69</f>
        <v>33471.75</v>
      </c>
      <c r="H69" s="78"/>
      <c r="I69" s="78"/>
    </row>
    <row r="70" spans="1:10" x14ac:dyDescent="0.25">
      <c r="A70" t="s">
        <v>364</v>
      </c>
      <c r="C70" s="78">
        <v>10000</v>
      </c>
      <c r="E70" s="78"/>
      <c r="F70" s="78"/>
      <c r="G70" s="78"/>
      <c r="H70" s="78"/>
      <c r="I70" s="78"/>
    </row>
    <row r="71" spans="1:10" x14ac:dyDescent="0.25">
      <c r="A71" t="s">
        <v>321</v>
      </c>
      <c r="C71" s="78">
        <v>12500</v>
      </c>
      <c r="E71" s="78"/>
      <c r="F71" s="78">
        <v>6250</v>
      </c>
      <c r="G71" s="78"/>
      <c r="H71" s="78"/>
      <c r="I71" s="78"/>
    </row>
    <row r="72" spans="1:10" x14ac:dyDescent="0.25">
      <c r="A72" t="s">
        <v>446</v>
      </c>
      <c r="C72" s="78">
        <v>5000</v>
      </c>
      <c r="E72" s="78">
        <f>C72</f>
        <v>5000</v>
      </c>
      <c r="F72" s="78"/>
      <c r="G72" s="78"/>
      <c r="H72" s="78"/>
      <c r="I72" s="78"/>
    </row>
    <row r="73" spans="1:10" x14ac:dyDescent="0.25">
      <c r="A73" s="84" t="s">
        <v>447</v>
      </c>
      <c r="B73" s="84"/>
      <c r="C73" s="90">
        <v>30000</v>
      </c>
      <c r="E73" s="78"/>
      <c r="F73" s="78"/>
      <c r="G73" s="78"/>
      <c r="H73" s="78"/>
      <c r="I73" s="78"/>
      <c r="J73" t="s">
        <v>440</v>
      </c>
    </row>
    <row r="74" spans="1:10" x14ac:dyDescent="0.25">
      <c r="A74" s="84" t="s">
        <v>448</v>
      </c>
      <c r="B74" s="84"/>
      <c r="C74" s="90">
        <v>25000</v>
      </c>
      <c r="E74" s="78"/>
      <c r="F74" s="78"/>
      <c r="G74" s="78"/>
      <c r="H74" s="78"/>
      <c r="I74" s="78"/>
      <c r="J74" t="s">
        <v>440</v>
      </c>
    </row>
    <row r="75" spans="1:10" x14ac:dyDescent="0.25">
      <c r="A75" t="s">
        <v>449</v>
      </c>
      <c r="C75" s="78">
        <v>5500</v>
      </c>
      <c r="J75">
        <f>J21</f>
        <v>0</v>
      </c>
    </row>
    <row r="76" spans="1:10" x14ac:dyDescent="0.25">
      <c r="A76" t="s">
        <v>450</v>
      </c>
      <c r="C76" s="78">
        <v>7500</v>
      </c>
      <c r="J76">
        <f>J22</f>
        <v>0</v>
      </c>
    </row>
    <row r="77" spans="1:10" x14ac:dyDescent="0.25">
      <c r="A77" t="s">
        <v>424</v>
      </c>
      <c r="C77" s="78">
        <v>25000</v>
      </c>
      <c r="E77" s="78"/>
      <c r="F77" s="78"/>
      <c r="G77" s="78"/>
      <c r="H77" s="78"/>
      <c r="I77" s="78"/>
    </row>
    <row r="78" spans="1:10" x14ac:dyDescent="0.25">
      <c r="A78" t="s">
        <v>420</v>
      </c>
      <c r="C78" s="78">
        <v>22000</v>
      </c>
    </row>
    <row r="79" spans="1:10" x14ac:dyDescent="0.25">
      <c r="A79" t="s">
        <v>451</v>
      </c>
      <c r="C79" s="78">
        <v>7500</v>
      </c>
      <c r="E79" s="78"/>
      <c r="F79" s="78"/>
      <c r="G79" s="78"/>
      <c r="H79" s="78"/>
      <c r="I79" s="78"/>
      <c r="J79" t="s">
        <v>452</v>
      </c>
    </row>
    <row r="80" spans="1:10" x14ac:dyDescent="0.25">
      <c r="A80" t="s">
        <v>299</v>
      </c>
      <c r="C80" s="78"/>
      <c r="E80" s="78">
        <f>E32</f>
        <v>134.22999999999999</v>
      </c>
      <c r="F80" s="78">
        <f>F32</f>
        <v>0</v>
      </c>
      <c r="G80" s="78">
        <f>G32</f>
        <v>56</v>
      </c>
      <c r="H80" s="78"/>
      <c r="I80" s="78"/>
    </row>
    <row r="81" spans="1:10" x14ac:dyDescent="0.25">
      <c r="C81" s="87">
        <f>SUM(C61:C79)</f>
        <v>488642.75</v>
      </c>
      <c r="E81" s="78"/>
      <c r="F81" s="78"/>
      <c r="G81" s="78"/>
      <c r="H81" s="78"/>
      <c r="I81" s="78"/>
    </row>
    <row r="82" spans="1:10" x14ac:dyDescent="0.25">
      <c r="A82" s="1" t="s">
        <v>290</v>
      </c>
      <c r="C82" s="78"/>
      <c r="E82" s="78"/>
      <c r="F82" s="78"/>
      <c r="G82" s="78"/>
      <c r="H82" s="78"/>
      <c r="I82" s="78"/>
    </row>
    <row r="83" spans="1:10" x14ac:dyDescent="0.25">
      <c r="A83" t="s">
        <v>291</v>
      </c>
      <c r="C83" s="78"/>
      <c r="E83" s="78"/>
      <c r="F83" s="78"/>
      <c r="G83" s="78">
        <v>-73000</v>
      </c>
      <c r="H83" s="78"/>
      <c r="I83" s="78"/>
      <c r="J83" t="s">
        <v>453</v>
      </c>
    </row>
    <row r="84" spans="1:10" x14ac:dyDescent="0.25">
      <c r="A84" t="s">
        <v>294</v>
      </c>
      <c r="C84" s="78"/>
      <c r="E84" s="78"/>
      <c r="F84" s="78"/>
      <c r="G84" s="78">
        <v>-35546</v>
      </c>
      <c r="H84" s="78"/>
      <c r="I84" s="78"/>
      <c r="J84" t="s">
        <v>454</v>
      </c>
    </row>
    <row r="85" spans="1:10" x14ac:dyDescent="0.25">
      <c r="A85" t="s">
        <v>298</v>
      </c>
      <c r="C85" s="78"/>
      <c r="E85" s="78"/>
      <c r="F85" s="78"/>
      <c r="G85" s="78"/>
      <c r="H85" s="78">
        <v>-15120</v>
      </c>
      <c r="I85" s="78"/>
      <c r="J85" t="s">
        <v>301</v>
      </c>
    </row>
    <row r="86" spans="1:10" x14ac:dyDescent="0.25">
      <c r="A86" t="s">
        <v>299</v>
      </c>
      <c r="C86" s="78"/>
      <c r="E86" s="78">
        <f>M88</f>
        <v>0</v>
      </c>
      <c r="F86" s="78">
        <f>N88</f>
        <v>0</v>
      </c>
      <c r="G86" s="78">
        <f>O88</f>
        <v>0</v>
      </c>
      <c r="H86" s="78">
        <f>P88</f>
        <v>0</v>
      </c>
      <c r="I86" s="78"/>
      <c r="J86" s="88">
        <f>SUM(E86:H86)</f>
        <v>0</v>
      </c>
    </row>
    <row r="87" spans="1:10" x14ac:dyDescent="0.25">
      <c r="A87" s="1" t="s">
        <v>300</v>
      </c>
      <c r="C87" s="78"/>
      <c r="E87" s="89">
        <f>E40</f>
        <v>-2982.66</v>
      </c>
      <c r="F87" s="89">
        <f>F40</f>
        <v>-12431.71</v>
      </c>
      <c r="G87" s="89">
        <f>G40</f>
        <v>-10544.34</v>
      </c>
      <c r="H87" s="89">
        <f>H40</f>
        <v>-50760.95</v>
      </c>
      <c r="I87" s="78"/>
      <c r="J87" s="88">
        <f>SUM(E87:H87)</f>
        <v>-76719.66</v>
      </c>
    </row>
    <row r="88" spans="1:10" x14ac:dyDescent="0.25">
      <c r="C88" s="78"/>
      <c r="E88" s="78"/>
      <c r="F88" s="78"/>
      <c r="G88" s="78"/>
      <c r="H88" s="78"/>
      <c r="I88" s="78"/>
    </row>
    <row r="89" spans="1:10" x14ac:dyDescent="0.25">
      <c r="A89" s="1" t="s">
        <v>303</v>
      </c>
      <c r="C89" s="78"/>
      <c r="E89" s="78">
        <f>SUM(E60:E81)+E87</f>
        <v>2151.5699999999997</v>
      </c>
      <c r="F89" s="78">
        <f>SUM(F60:F81)+F87</f>
        <v>-6181.7099999999991</v>
      </c>
      <c r="G89" s="78">
        <f>SUM(G60:G81)+G87</f>
        <v>230154.41</v>
      </c>
      <c r="H89" s="78">
        <f>SUM(H60:H81)+H87</f>
        <v>-32760.949999999997</v>
      </c>
      <c r="I89" s="78"/>
    </row>
    <row r="90" spans="1:10" x14ac:dyDescent="0.25">
      <c r="C90" s="78"/>
      <c r="E90" s="78"/>
      <c r="F90" s="78"/>
      <c r="G90" s="78"/>
      <c r="H90" s="78"/>
      <c r="I90" s="78"/>
    </row>
    <row r="91" spans="1:10" x14ac:dyDescent="0.25">
      <c r="A91" s="1" t="s">
        <v>304</v>
      </c>
      <c r="C91" s="78"/>
      <c r="E91" s="86">
        <f>E58+E89</f>
        <v>115257.76000000001</v>
      </c>
      <c r="F91" s="86">
        <f>F58+F89</f>
        <v>109076.05000000002</v>
      </c>
      <c r="G91" s="86">
        <f>G58+G89</f>
        <v>339230.46</v>
      </c>
      <c r="H91" s="86">
        <f>H58+H89</f>
        <v>306469.51</v>
      </c>
      <c r="I91" s="86"/>
    </row>
  </sheetData>
  <sortState xmlns:xlrd2="http://schemas.microsoft.com/office/spreadsheetml/2017/richdata2" ref="K8:S27">
    <sortCondition ref="K8:K27"/>
  </sortState>
  <pageMargins left="0.25" right="0.25" top="0.75" bottom="0.75" header="0.3" footer="0.3"/>
  <pageSetup paperSize="8" scale="38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theme="1" tint="0.249977111117893"/>
    <pageSetUpPr fitToPage="1"/>
  </sheetPr>
  <dimension ref="A1:I62"/>
  <sheetViews>
    <sheetView topLeftCell="A23" zoomScale="90" zoomScaleNormal="90" workbookViewId="0">
      <selection activeCell="C39" sqref="C39:F39"/>
    </sheetView>
  </sheetViews>
  <sheetFormatPr defaultColWidth="9.140625" defaultRowHeight="12.75" x14ac:dyDescent="0.2"/>
  <cols>
    <col min="1" max="1" width="44" style="51" customWidth="1"/>
    <col min="2" max="2" width="9.5703125" style="51" customWidth="1"/>
    <col min="3" max="3" width="11.85546875" style="53" customWidth="1"/>
    <col min="4" max="4" width="13.140625" style="53" customWidth="1"/>
    <col min="5" max="6" width="11.85546875" style="53" customWidth="1"/>
    <col min="7" max="7" width="10.28515625" style="54" customWidth="1"/>
    <col min="8" max="8" width="44.140625" style="51" bestFit="1" customWidth="1"/>
    <col min="9" max="9" width="47.28515625" style="51" bestFit="1" customWidth="1"/>
    <col min="10" max="16384" width="9.140625" style="51"/>
  </cols>
  <sheetData>
    <row r="1" spans="1:9" x14ac:dyDescent="0.2">
      <c r="A1" s="50" t="s">
        <v>142</v>
      </c>
      <c r="C1" s="52" t="s">
        <v>71</v>
      </c>
    </row>
    <row r="2" spans="1:9" x14ac:dyDescent="0.2">
      <c r="A2" s="55" t="s">
        <v>455</v>
      </c>
    </row>
    <row r="3" spans="1:9" x14ac:dyDescent="0.2">
      <c r="A3" s="55"/>
    </row>
    <row r="4" spans="1:9" ht="25.5" x14ac:dyDescent="0.2">
      <c r="A4" s="56" t="s">
        <v>456</v>
      </c>
      <c r="B4" s="57" t="s">
        <v>145</v>
      </c>
      <c r="C4" s="58">
        <f>F4</f>
        <v>121117.42000000004</v>
      </c>
      <c r="D4" s="58">
        <f>F4</f>
        <v>121117.42000000004</v>
      </c>
      <c r="E4" s="58">
        <f>F4</f>
        <v>121117.42000000004</v>
      </c>
      <c r="F4" s="58">
        <f>'Jan 18'!F53</f>
        <v>121117.42000000004</v>
      </c>
    </row>
    <row r="6" spans="1:9" ht="15" x14ac:dyDescent="0.25">
      <c r="A6" s="50" t="s">
        <v>146</v>
      </c>
      <c r="B6" s="50"/>
      <c r="C6" s="52" t="s">
        <v>108</v>
      </c>
      <c r="D6" s="4" t="s">
        <v>109</v>
      </c>
      <c r="E6" s="52" t="s">
        <v>147</v>
      </c>
      <c r="F6" s="52" t="s">
        <v>148</v>
      </c>
      <c r="G6" s="59" t="s">
        <v>149</v>
      </c>
      <c r="H6" s="50" t="s">
        <v>150</v>
      </c>
      <c r="I6" s="79"/>
    </row>
    <row r="7" spans="1:9" x14ac:dyDescent="0.2">
      <c r="C7" s="60"/>
      <c r="D7" s="60"/>
      <c r="E7" s="60"/>
      <c r="F7" s="60"/>
    </row>
    <row r="8" spans="1:9" x14ac:dyDescent="0.2">
      <c r="A8" s="50" t="s">
        <v>56</v>
      </c>
      <c r="B8" s="50"/>
    </row>
    <row r="9" spans="1:9" x14ac:dyDescent="0.2">
      <c r="A9" s="95" t="s">
        <v>224</v>
      </c>
      <c r="B9" s="51" t="s">
        <v>156</v>
      </c>
      <c r="C9" s="60">
        <v>10000</v>
      </c>
      <c r="D9" s="60">
        <v>10000</v>
      </c>
      <c r="E9" s="60">
        <v>10000</v>
      </c>
      <c r="F9" s="60">
        <v>10000</v>
      </c>
      <c r="G9" s="54" t="s">
        <v>457</v>
      </c>
      <c r="H9" s="51" t="s">
        <v>458</v>
      </c>
    </row>
    <row r="13" spans="1:9" x14ac:dyDescent="0.2">
      <c r="A13" s="49"/>
    </row>
    <row r="14" spans="1:9" x14ac:dyDescent="0.2">
      <c r="A14" s="50" t="s">
        <v>57</v>
      </c>
      <c r="B14" s="50"/>
      <c r="C14" s="60"/>
      <c r="D14" s="60"/>
      <c r="E14" s="60"/>
      <c r="F14" s="60"/>
    </row>
    <row r="15" spans="1:9" x14ac:dyDescent="0.2">
      <c r="C15" s="60"/>
      <c r="D15" s="60"/>
      <c r="E15" s="60"/>
      <c r="F15" s="60"/>
    </row>
    <row r="16" spans="1:9" x14ac:dyDescent="0.2">
      <c r="A16" s="50" t="s">
        <v>58</v>
      </c>
      <c r="B16" s="50"/>
    </row>
    <row r="17" spans="1:8" x14ac:dyDescent="0.2">
      <c r="A17" s="48" t="s">
        <v>228</v>
      </c>
      <c r="B17" s="49" t="s">
        <v>17</v>
      </c>
      <c r="C17" s="60">
        <v>28907</v>
      </c>
      <c r="D17" s="60">
        <f>C17</f>
        <v>28907</v>
      </c>
      <c r="E17" s="60">
        <v>28907</v>
      </c>
      <c r="F17" s="60">
        <f>E17</f>
        <v>28907</v>
      </c>
      <c r="G17" s="54" t="s">
        <v>459</v>
      </c>
      <c r="H17" s="51" t="s">
        <v>460</v>
      </c>
    </row>
    <row r="18" spans="1:8" x14ac:dyDescent="0.2">
      <c r="A18" s="49"/>
      <c r="B18" s="49"/>
      <c r="C18" s="60"/>
      <c r="E18" s="60"/>
      <c r="F18" s="60"/>
    </row>
    <row r="19" spans="1:8" x14ac:dyDescent="0.2">
      <c r="A19" s="49"/>
      <c r="B19" s="49"/>
      <c r="C19" s="60"/>
      <c r="E19" s="60"/>
      <c r="F19" s="60"/>
      <c r="H19" s="80"/>
    </row>
    <row r="20" spans="1:8" x14ac:dyDescent="0.2">
      <c r="D20" s="60"/>
      <c r="E20" s="60"/>
      <c r="F20" s="60"/>
    </row>
    <row r="21" spans="1:8" x14ac:dyDescent="0.2">
      <c r="A21" s="50" t="s">
        <v>157</v>
      </c>
      <c r="B21" s="50"/>
      <c r="C21" s="60"/>
      <c r="D21" s="60"/>
      <c r="E21" s="60"/>
      <c r="F21" s="60"/>
    </row>
    <row r="22" spans="1:8" x14ac:dyDescent="0.2">
      <c r="A22" s="48" t="s">
        <v>461</v>
      </c>
      <c r="B22" s="51" t="s">
        <v>17</v>
      </c>
      <c r="C22" s="60">
        <v>21200</v>
      </c>
      <c r="D22" s="60">
        <v>21200</v>
      </c>
      <c r="E22" s="60">
        <v>21200</v>
      </c>
      <c r="F22" s="60">
        <v>21200</v>
      </c>
      <c r="G22" s="54" t="s">
        <v>204</v>
      </c>
      <c r="H22" s="51" t="s">
        <v>462</v>
      </c>
    </row>
    <row r="23" spans="1:8" x14ac:dyDescent="0.2">
      <c r="A23" s="48" t="s">
        <v>321</v>
      </c>
      <c r="C23" s="53">
        <v>7500</v>
      </c>
      <c r="D23" s="53">
        <f>C23</f>
        <v>7500</v>
      </c>
      <c r="E23" s="53">
        <f>D23</f>
        <v>7500</v>
      </c>
      <c r="F23" s="53">
        <f>E23</f>
        <v>7500</v>
      </c>
      <c r="H23" s="51" t="s">
        <v>463</v>
      </c>
    </row>
    <row r="24" spans="1:8" x14ac:dyDescent="0.2">
      <c r="A24" s="49"/>
      <c r="C24" s="60"/>
      <c r="D24" s="60"/>
      <c r="E24" s="60"/>
      <c r="F24" s="60"/>
    </row>
    <row r="25" spans="1:8" x14ac:dyDescent="0.2">
      <c r="A25" s="50" t="s">
        <v>133</v>
      </c>
      <c r="B25" s="49"/>
      <c r="C25" s="60"/>
      <c r="D25" s="60"/>
      <c r="E25" s="60" t="s">
        <v>464</v>
      </c>
      <c r="F25" s="60"/>
    </row>
    <row r="26" spans="1:8" x14ac:dyDescent="0.2">
      <c r="A26" s="95" t="s">
        <v>161</v>
      </c>
      <c r="B26" s="49"/>
      <c r="C26" s="60">
        <f>168.7+545.42+28.95+149.49</f>
        <v>892.56</v>
      </c>
      <c r="D26" s="60">
        <f t="shared" ref="D26:F32" si="0">C26</f>
        <v>892.56</v>
      </c>
      <c r="E26" s="60">
        <f t="shared" si="0"/>
        <v>892.56</v>
      </c>
      <c r="F26" s="60">
        <f t="shared" si="0"/>
        <v>892.56</v>
      </c>
      <c r="H26" s="51" t="s">
        <v>465</v>
      </c>
    </row>
    <row r="27" spans="1:8" x14ac:dyDescent="0.2">
      <c r="A27" s="95" t="s">
        <v>288</v>
      </c>
      <c r="B27" s="49"/>
      <c r="C27" s="60">
        <f>103.1+51.5+312.49+26.1</f>
        <v>493.19000000000005</v>
      </c>
      <c r="D27" s="60">
        <f t="shared" si="0"/>
        <v>493.19000000000005</v>
      </c>
      <c r="E27" s="60">
        <f t="shared" si="0"/>
        <v>493.19000000000005</v>
      </c>
      <c r="F27" s="60">
        <f t="shared" si="0"/>
        <v>493.19000000000005</v>
      </c>
      <c r="H27" s="51" t="s">
        <v>465</v>
      </c>
    </row>
    <row r="28" spans="1:8" x14ac:dyDescent="0.2">
      <c r="A28" s="95" t="s">
        <v>466</v>
      </c>
      <c r="B28" s="49"/>
      <c r="C28" s="60">
        <v>56</v>
      </c>
      <c r="D28" s="60">
        <v>56</v>
      </c>
      <c r="E28" s="60">
        <v>56</v>
      </c>
      <c r="F28" s="60">
        <v>56</v>
      </c>
      <c r="H28" s="51" t="s">
        <v>467</v>
      </c>
    </row>
    <row r="29" spans="1:8" x14ac:dyDescent="0.2">
      <c r="A29" s="95" t="s">
        <v>283</v>
      </c>
      <c r="B29" s="49"/>
      <c r="C29" s="60">
        <v>2502</v>
      </c>
      <c r="D29" s="60">
        <f t="shared" si="0"/>
        <v>2502</v>
      </c>
      <c r="E29" s="60">
        <f t="shared" si="0"/>
        <v>2502</v>
      </c>
      <c r="F29" s="60">
        <f t="shared" si="0"/>
        <v>2502</v>
      </c>
      <c r="H29" s="51" t="s">
        <v>468</v>
      </c>
    </row>
    <row r="30" spans="1:8" x14ac:dyDescent="0.2">
      <c r="A30" s="95" t="s">
        <v>391</v>
      </c>
      <c r="B30" s="49"/>
      <c r="C30" s="60">
        <v>228.75</v>
      </c>
      <c r="D30" s="60">
        <f t="shared" si="0"/>
        <v>228.75</v>
      </c>
      <c r="E30" s="60">
        <f t="shared" si="0"/>
        <v>228.75</v>
      </c>
      <c r="F30" s="60">
        <f t="shared" si="0"/>
        <v>228.75</v>
      </c>
    </row>
    <row r="31" spans="1:8" x14ac:dyDescent="0.2">
      <c r="A31" s="95" t="s">
        <v>235</v>
      </c>
      <c r="B31" s="49"/>
      <c r="C31" s="60">
        <v>5</v>
      </c>
      <c r="D31" s="60">
        <f t="shared" si="0"/>
        <v>5</v>
      </c>
      <c r="E31" s="60">
        <f t="shared" si="0"/>
        <v>5</v>
      </c>
      <c r="F31" s="60">
        <f t="shared" si="0"/>
        <v>5</v>
      </c>
    </row>
    <row r="32" spans="1:8" x14ac:dyDescent="0.2">
      <c r="A32" s="95" t="s">
        <v>469</v>
      </c>
      <c r="B32" s="49"/>
      <c r="C32" s="60">
        <v>134.22999999999999</v>
      </c>
      <c r="D32" s="60">
        <f t="shared" si="0"/>
        <v>134.22999999999999</v>
      </c>
      <c r="E32" s="60">
        <f t="shared" si="0"/>
        <v>134.22999999999999</v>
      </c>
      <c r="F32" s="60">
        <f t="shared" si="0"/>
        <v>134.22999999999999</v>
      </c>
      <c r="H32" s="51" t="s">
        <v>470</v>
      </c>
    </row>
    <row r="34" spans="1:8" x14ac:dyDescent="0.2">
      <c r="A34" s="49"/>
      <c r="B34" s="49"/>
      <c r="C34" s="60"/>
      <c r="D34" s="60"/>
      <c r="E34" s="60"/>
      <c r="F34" s="60"/>
    </row>
    <row r="35" spans="1:8" x14ac:dyDescent="0.2">
      <c r="A35" s="50" t="s">
        <v>168</v>
      </c>
      <c r="B35" s="50"/>
      <c r="C35" s="61">
        <f>SUM(C7:C32)</f>
        <v>71918.73</v>
      </c>
      <c r="D35" s="61">
        <f>SUM(D7:D32)</f>
        <v>71918.73</v>
      </c>
      <c r="E35" s="61">
        <f>SUM(E7:E32)</f>
        <v>71918.73</v>
      </c>
      <c r="F35" s="112">
        <f>SUM(F7:F32)</f>
        <v>71918.73</v>
      </c>
    </row>
    <row r="36" spans="1:8" x14ac:dyDescent="0.2">
      <c r="C36" s="60"/>
      <c r="D36" s="60"/>
      <c r="E36" s="60"/>
      <c r="F36" s="60"/>
    </row>
    <row r="37" spans="1:8" x14ac:dyDescent="0.2">
      <c r="A37" s="62"/>
      <c r="B37" s="62"/>
      <c r="C37" s="63"/>
      <c r="D37" s="63"/>
      <c r="E37" s="64"/>
      <c r="F37" s="64"/>
      <c r="G37" s="65"/>
      <c r="H37" s="62"/>
    </row>
    <row r="38" spans="1:8" x14ac:dyDescent="0.2">
      <c r="A38" s="50" t="s">
        <v>169</v>
      </c>
      <c r="B38" s="50"/>
      <c r="C38" s="60"/>
      <c r="D38" s="60"/>
      <c r="E38" s="61"/>
      <c r="F38" s="61"/>
    </row>
    <row r="39" spans="1:8" x14ac:dyDescent="0.2">
      <c r="A39" s="51" t="s">
        <v>471</v>
      </c>
      <c r="C39" s="60">
        <v>-4589.41</v>
      </c>
      <c r="D39" s="60">
        <f>C39</f>
        <v>-4589.41</v>
      </c>
      <c r="E39" s="60">
        <f>D39</f>
        <v>-4589.41</v>
      </c>
      <c r="F39" s="60">
        <f>E39</f>
        <v>-4589.41</v>
      </c>
      <c r="H39" s="51" t="s">
        <v>215</v>
      </c>
    </row>
    <row r="40" spans="1:8" x14ac:dyDescent="0.2">
      <c r="A40" s="51" t="s">
        <v>472</v>
      </c>
      <c r="C40" s="60">
        <f>'Feb Zoom'!F40</f>
        <v>-12431.71</v>
      </c>
      <c r="D40" s="60">
        <f t="shared" ref="D40:F42" si="1">C40</f>
        <v>-12431.71</v>
      </c>
      <c r="E40" s="60">
        <f t="shared" si="1"/>
        <v>-12431.71</v>
      </c>
      <c r="F40" s="60">
        <f t="shared" si="1"/>
        <v>-12431.71</v>
      </c>
      <c r="H40" s="51" t="s">
        <v>215</v>
      </c>
    </row>
    <row r="41" spans="1:8" x14ac:dyDescent="0.2">
      <c r="A41" s="51" t="s">
        <v>473</v>
      </c>
      <c r="C41" s="60">
        <f>'Feb Zoom'!G40</f>
        <v>-10544.34</v>
      </c>
      <c r="D41" s="60">
        <f t="shared" si="1"/>
        <v>-10544.34</v>
      </c>
      <c r="E41" s="60">
        <f t="shared" si="1"/>
        <v>-10544.34</v>
      </c>
      <c r="F41" s="60">
        <f t="shared" si="1"/>
        <v>-10544.34</v>
      </c>
      <c r="H41" s="51" t="s">
        <v>215</v>
      </c>
    </row>
    <row r="42" spans="1:8" x14ac:dyDescent="0.2">
      <c r="A42" s="51" t="s">
        <v>474</v>
      </c>
      <c r="C42" s="60">
        <f>'Feb Zoom'!H40</f>
        <v>-50760.95</v>
      </c>
      <c r="D42" s="60">
        <f t="shared" si="1"/>
        <v>-50760.95</v>
      </c>
      <c r="E42" s="60">
        <f t="shared" si="1"/>
        <v>-50760.95</v>
      </c>
      <c r="F42" s="60">
        <f t="shared" si="1"/>
        <v>-50760.95</v>
      </c>
      <c r="H42" s="51" t="s">
        <v>215</v>
      </c>
    </row>
    <row r="43" spans="1:8" x14ac:dyDescent="0.2">
      <c r="A43" s="51" t="s">
        <v>475</v>
      </c>
      <c r="C43" s="60">
        <f>'Feb Zoom'!I40</f>
        <v>-94205.15</v>
      </c>
      <c r="D43" s="60">
        <f t="shared" ref="D43:F45" si="2">C43</f>
        <v>-94205.15</v>
      </c>
      <c r="E43" s="60">
        <f t="shared" si="2"/>
        <v>-94205.15</v>
      </c>
      <c r="F43" s="60">
        <f t="shared" si="2"/>
        <v>-94205.15</v>
      </c>
      <c r="H43" s="51" t="s">
        <v>215</v>
      </c>
    </row>
    <row r="44" spans="1:8" x14ac:dyDescent="0.2">
      <c r="A44" s="51" t="s">
        <v>476</v>
      </c>
      <c r="C44" s="60">
        <f>'Feb Zoom'!E47</f>
        <v>1606.7499999999991</v>
      </c>
      <c r="D44" s="60">
        <f t="shared" si="2"/>
        <v>1606.7499999999991</v>
      </c>
      <c r="E44" s="60">
        <f t="shared" si="2"/>
        <v>1606.7499999999991</v>
      </c>
      <c r="F44" s="60">
        <f t="shared" si="2"/>
        <v>1606.7499999999991</v>
      </c>
    </row>
    <row r="45" spans="1:8" x14ac:dyDescent="0.2">
      <c r="A45" s="51" t="s">
        <v>477</v>
      </c>
      <c r="C45" s="60">
        <v>15303.24</v>
      </c>
      <c r="D45" s="60">
        <f t="shared" si="2"/>
        <v>15303.24</v>
      </c>
      <c r="E45" s="60">
        <f t="shared" si="2"/>
        <v>15303.24</v>
      </c>
      <c r="F45" s="60">
        <f t="shared" si="2"/>
        <v>15303.24</v>
      </c>
      <c r="H45" s="51" t="s">
        <v>215</v>
      </c>
    </row>
    <row r="46" spans="1:8" x14ac:dyDescent="0.2">
      <c r="C46" s="60"/>
      <c r="D46" s="60"/>
      <c r="E46" s="60"/>
      <c r="F46" s="60"/>
    </row>
    <row r="47" spans="1:8" x14ac:dyDescent="0.2">
      <c r="A47" s="50" t="s">
        <v>183</v>
      </c>
      <c r="B47" s="50"/>
      <c r="C47" s="61">
        <f>SUM(C39:C46)</f>
        <v>-155621.57</v>
      </c>
      <c r="D47" s="61">
        <f>SUM(D39:D46)</f>
        <v>-155621.57</v>
      </c>
      <c r="E47" s="61">
        <f>SUM(E39:E46)</f>
        <v>-155621.57</v>
      </c>
      <c r="F47" s="61">
        <f>SUM(F39:F46)</f>
        <v>-155621.57</v>
      </c>
    </row>
    <row r="48" spans="1:8" x14ac:dyDescent="0.2">
      <c r="A48" s="50"/>
      <c r="B48" s="50"/>
      <c r="C48" s="61"/>
      <c r="D48" s="61"/>
      <c r="E48" s="61"/>
      <c r="F48" s="61"/>
      <c r="G48" s="113"/>
    </row>
    <row r="49" spans="1:9" x14ac:dyDescent="0.2">
      <c r="A49" s="66" t="s">
        <v>184</v>
      </c>
      <c r="B49" s="66"/>
      <c r="C49" s="67">
        <f>C35+C47</f>
        <v>-83702.840000000011</v>
      </c>
      <c r="D49" s="67">
        <f>D35+D47</f>
        <v>-83702.840000000011</v>
      </c>
      <c r="E49" s="67">
        <f>E35+E47</f>
        <v>-83702.840000000011</v>
      </c>
      <c r="F49" s="67">
        <f>F35+F47</f>
        <v>-83702.840000000011</v>
      </c>
    </row>
    <row r="51" spans="1:9" x14ac:dyDescent="0.2">
      <c r="A51" s="68" t="s">
        <v>478</v>
      </c>
      <c r="B51" s="68"/>
      <c r="C51" s="69">
        <f>C4+C35+C47</f>
        <v>37414.580000000016</v>
      </c>
      <c r="D51" s="69">
        <f>D4+D35+D47</f>
        <v>37414.580000000016</v>
      </c>
      <c r="E51" s="69">
        <f>E4+E35+E47</f>
        <v>37414.580000000016</v>
      </c>
      <c r="F51" s="69">
        <f>F4+F35+F47</f>
        <v>37414.580000000016</v>
      </c>
      <c r="I51" s="70"/>
    </row>
    <row r="52" spans="1:9" x14ac:dyDescent="0.2">
      <c r="A52" s="51" t="s">
        <v>215</v>
      </c>
      <c r="F52" s="111">
        <v>37414.46</v>
      </c>
    </row>
    <row r="53" spans="1:9" s="53" customFormat="1" ht="13.5" thickBot="1" x14ac:dyDescent="0.25">
      <c r="A53" s="51"/>
      <c r="B53" s="51"/>
      <c r="F53" s="53">
        <f>F52-F51</f>
        <v>-0.12000000001717126</v>
      </c>
      <c r="G53" s="54"/>
      <c r="H53" s="51"/>
      <c r="I53" s="51"/>
    </row>
    <row r="54" spans="1:9" s="53" customFormat="1" ht="13.5" thickBot="1" x14ac:dyDescent="0.25">
      <c r="A54" s="71" t="s">
        <v>186</v>
      </c>
      <c r="B54" s="71"/>
      <c r="C54" s="71"/>
      <c r="G54" s="54"/>
      <c r="H54" s="51"/>
      <c r="I54" s="51"/>
    </row>
    <row r="55" spans="1:9" s="53" customFormat="1" x14ac:dyDescent="0.2">
      <c r="A55" s="51" t="s">
        <v>187</v>
      </c>
      <c r="B55" s="51"/>
      <c r="G55" s="54"/>
      <c r="H55" s="51"/>
      <c r="I55" s="51"/>
    </row>
    <row r="56" spans="1:9" s="53" customFormat="1" x14ac:dyDescent="0.2">
      <c r="A56" s="51" t="s">
        <v>188</v>
      </c>
      <c r="B56" s="51"/>
      <c r="G56" s="54"/>
      <c r="H56" s="51"/>
      <c r="I56" s="51"/>
    </row>
    <row r="57" spans="1:9" s="53" customFormat="1" x14ac:dyDescent="0.2">
      <c r="A57" s="51" t="s">
        <v>189</v>
      </c>
      <c r="B57" s="51"/>
      <c r="G57" s="54"/>
      <c r="H57" s="51"/>
      <c r="I57" s="51"/>
    </row>
    <row r="58" spans="1:9" s="53" customFormat="1" x14ac:dyDescent="0.2">
      <c r="A58" s="51" t="s">
        <v>190</v>
      </c>
      <c r="B58" s="51"/>
      <c r="G58" s="54"/>
      <c r="H58" s="51"/>
      <c r="I58" s="51"/>
    </row>
    <row r="59" spans="1:9" s="53" customFormat="1" x14ac:dyDescent="0.2">
      <c r="A59" s="72" t="s">
        <v>191</v>
      </c>
      <c r="B59" s="51"/>
      <c r="G59" s="54"/>
      <c r="H59" s="51"/>
      <c r="I59" s="51"/>
    </row>
    <row r="60" spans="1:9" s="53" customFormat="1" x14ac:dyDescent="0.2">
      <c r="A60" s="73" t="s">
        <v>192</v>
      </c>
      <c r="B60" s="51"/>
      <c r="G60" s="54"/>
      <c r="H60" s="51"/>
      <c r="I60" s="51"/>
    </row>
    <row r="61" spans="1:9" s="53" customFormat="1" x14ac:dyDescent="0.2">
      <c r="A61" s="74" t="s">
        <v>193</v>
      </c>
      <c r="B61" s="51"/>
      <c r="G61" s="54"/>
      <c r="H61" s="51"/>
      <c r="I61" s="51"/>
    </row>
    <row r="62" spans="1:9" s="53" customFormat="1" x14ac:dyDescent="0.2">
      <c r="A62" s="51"/>
      <c r="B62" s="50"/>
      <c r="C62" s="50"/>
      <c r="G62" s="54"/>
      <c r="H62" s="51"/>
      <c r="I62" s="51"/>
    </row>
  </sheetData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theme="1" tint="0.249977111117893"/>
    <pageSetUpPr fitToPage="1"/>
  </sheetPr>
  <dimension ref="A1:S74"/>
  <sheetViews>
    <sheetView topLeftCell="A13" zoomScale="80" zoomScaleNormal="80" workbookViewId="0">
      <selection activeCell="G29" sqref="G29"/>
    </sheetView>
  </sheetViews>
  <sheetFormatPr defaultRowHeight="15" x14ac:dyDescent="0.25"/>
  <cols>
    <col min="1" max="1" width="35.7109375" bestFit="1" customWidth="1"/>
    <col min="2" max="2" width="1" customWidth="1"/>
    <col min="3" max="3" width="8.7109375" customWidth="1"/>
    <col min="4" max="4" width="1" customWidth="1"/>
    <col min="5" max="5" width="8.7109375" customWidth="1"/>
    <col min="6" max="7" width="11.28515625" bestFit="1" customWidth="1"/>
    <col min="8" max="8" width="8.7109375" customWidth="1"/>
    <col min="9" max="9" width="67.140625" bestFit="1" customWidth="1"/>
    <col min="10" max="10" width="24.28515625" bestFit="1" customWidth="1"/>
    <col min="11" max="11" width="1" customWidth="1"/>
    <col min="13" max="13" width="11.28515625" bestFit="1" customWidth="1"/>
    <col min="14" max="14" width="10.140625" bestFit="1" customWidth="1"/>
    <col min="16" max="16" width="8.5703125" bestFit="1" customWidth="1"/>
  </cols>
  <sheetData>
    <row r="1" spans="1:17" x14ac:dyDescent="0.25">
      <c r="A1" s="1" t="s">
        <v>0</v>
      </c>
    </row>
    <row r="2" spans="1:17" x14ac:dyDescent="0.25">
      <c r="A2" t="s">
        <v>243</v>
      </c>
    </row>
    <row r="3" spans="1:17" x14ac:dyDescent="0.25">
      <c r="A3" s="37" t="str">
        <f>'Jan 18'!A2</f>
        <v>Last updated: 7th February 2018</v>
      </c>
    </row>
    <row r="4" spans="1:17" s="3" customFormat="1" x14ac:dyDescent="0.25">
      <c r="A4" s="85"/>
      <c r="C4" s="5"/>
      <c r="E4" s="98" t="s">
        <v>433</v>
      </c>
      <c r="F4" s="98" t="s">
        <v>434</v>
      </c>
      <c r="G4" s="98" t="s">
        <v>435</v>
      </c>
      <c r="H4" s="98" t="s">
        <v>436</v>
      </c>
      <c r="J4" s="85" t="s">
        <v>244</v>
      </c>
      <c r="L4" s="98" t="s">
        <v>433</v>
      </c>
      <c r="M4" s="98" t="s">
        <v>434</v>
      </c>
      <c r="N4" s="98" t="s">
        <v>435</v>
      </c>
      <c r="O4" s="98" t="s">
        <v>436</v>
      </c>
      <c r="P4" s="5" t="s">
        <v>245</v>
      </c>
    </row>
    <row r="5" spans="1:17" s="3" customFormat="1" ht="6.95" customHeight="1" x14ac:dyDescent="0.25"/>
    <row r="6" spans="1:17" x14ac:dyDescent="0.25">
      <c r="A6" s="1" t="s">
        <v>250</v>
      </c>
      <c r="C6" s="78"/>
      <c r="E6" s="86">
        <f>'[1]Dec Zoom'!H35</f>
        <v>238846.08000000002</v>
      </c>
      <c r="F6" s="86">
        <f>E35</f>
        <v>212166.15000000002</v>
      </c>
      <c r="G6" s="86">
        <f>F35</f>
        <v>218544.22000000003</v>
      </c>
      <c r="H6" s="86">
        <f>G35</f>
        <v>189339.74000000002</v>
      </c>
      <c r="J6" s="1" t="s">
        <v>251</v>
      </c>
    </row>
    <row r="7" spans="1:17" x14ac:dyDescent="0.25">
      <c r="C7" s="78"/>
      <c r="E7" s="78"/>
      <c r="F7" s="78"/>
      <c r="G7" s="78"/>
      <c r="H7" s="78"/>
      <c r="J7" t="s">
        <v>479</v>
      </c>
      <c r="L7" s="78"/>
      <c r="M7" s="78">
        <v>-355.19</v>
      </c>
      <c r="N7" s="78"/>
      <c r="P7" s="99">
        <v>43465</v>
      </c>
    </row>
    <row r="8" spans="1:17" x14ac:dyDescent="0.25">
      <c r="A8" s="1" t="s">
        <v>252</v>
      </c>
      <c r="C8" s="78"/>
      <c r="E8" s="78"/>
      <c r="F8" s="78"/>
      <c r="G8" s="107"/>
      <c r="H8" s="78"/>
      <c r="J8" t="s">
        <v>253</v>
      </c>
      <c r="M8" s="78"/>
      <c r="N8" s="78"/>
      <c r="O8" s="78"/>
      <c r="P8" s="99">
        <v>43128</v>
      </c>
    </row>
    <row r="9" spans="1:17" x14ac:dyDescent="0.25">
      <c r="A9" t="s">
        <v>408</v>
      </c>
      <c r="C9" s="78">
        <v>5000</v>
      </c>
      <c r="E9" s="78"/>
      <c r="F9" s="78"/>
      <c r="G9" s="78"/>
      <c r="H9" s="78"/>
      <c r="J9" t="s">
        <v>480</v>
      </c>
      <c r="M9" s="78">
        <v>-22108.799999999999</v>
      </c>
      <c r="N9" s="78"/>
      <c r="O9" s="78"/>
      <c r="P9" s="99">
        <v>43413</v>
      </c>
    </row>
    <row r="10" spans="1:17" x14ac:dyDescent="0.25">
      <c r="A10" t="s">
        <v>409</v>
      </c>
      <c r="C10" s="78">
        <v>10000</v>
      </c>
      <c r="E10" s="78"/>
      <c r="F10" s="78"/>
      <c r="G10" s="78"/>
      <c r="H10" s="78"/>
      <c r="J10" t="s">
        <v>481</v>
      </c>
      <c r="M10" s="78">
        <v>-917.96</v>
      </c>
      <c r="N10" s="78"/>
      <c r="O10" s="78"/>
      <c r="P10" s="99">
        <v>43113</v>
      </c>
    </row>
    <row r="11" spans="1:17" x14ac:dyDescent="0.25">
      <c r="A11" t="s">
        <v>441</v>
      </c>
      <c r="C11" s="78">
        <v>7170.57</v>
      </c>
      <c r="F11" s="78">
        <f>C11</f>
        <v>7170.57</v>
      </c>
      <c r="I11" t="s">
        <v>482</v>
      </c>
      <c r="J11" t="s">
        <v>257</v>
      </c>
      <c r="M11" s="78">
        <v>-386.02</v>
      </c>
      <c r="N11" s="78"/>
      <c r="P11" s="99">
        <v>43101</v>
      </c>
    </row>
    <row r="12" spans="1:17" x14ac:dyDescent="0.25">
      <c r="A12" t="s">
        <v>378</v>
      </c>
      <c r="C12" s="78">
        <v>22500</v>
      </c>
      <c r="F12" s="78"/>
      <c r="J12" t="s">
        <v>266</v>
      </c>
      <c r="M12" s="78">
        <v>-1242</v>
      </c>
      <c r="N12" s="78"/>
      <c r="P12" s="99">
        <v>43114</v>
      </c>
    </row>
    <row r="13" spans="1:17" x14ac:dyDescent="0.25">
      <c r="A13" t="s">
        <v>443</v>
      </c>
      <c r="C13" s="78">
        <v>30000</v>
      </c>
      <c r="F13" s="78">
        <v>30000</v>
      </c>
      <c r="I13" t="s">
        <v>483</v>
      </c>
      <c r="J13" t="s">
        <v>261</v>
      </c>
      <c r="M13" s="78"/>
      <c r="N13" s="78">
        <v>-653.91</v>
      </c>
      <c r="P13" s="3"/>
      <c r="Q13" t="s">
        <v>484</v>
      </c>
    </row>
    <row r="14" spans="1:17" x14ac:dyDescent="0.25">
      <c r="A14" t="s">
        <v>228</v>
      </c>
      <c r="C14" s="78">
        <v>28907</v>
      </c>
      <c r="E14" s="78"/>
      <c r="F14" s="78"/>
      <c r="G14" s="78"/>
      <c r="H14" s="78"/>
      <c r="I14" t="s">
        <v>485</v>
      </c>
      <c r="J14" t="s">
        <v>486</v>
      </c>
      <c r="L14" s="78">
        <v>-7200</v>
      </c>
      <c r="M14" s="78"/>
      <c r="N14" s="78"/>
      <c r="O14" s="78"/>
      <c r="P14" s="5"/>
      <c r="Q14" s="82" t="s">
        <v>487</v>
      </c>
    </row>
    <row r="15" spans="1:17" x14ac:dyDescent="0.25">
      <c r="C15" s="78"/>
      <c r="E15" s="78"/>
      <c r="F15" s="78"/>
      <c r="G15" s="78"/>
      <c r="H15" s="78"/>
      <c r="J15" t="s">
        <v>263</v>
      </c>
      <c r="L15" s="78"/>
      <c r="M15" s="78"/>
      <c r="N15" s="78"/>
      <c r="O15" s="78"/>
      <c r="P15" s="3"/>
      <c r="Q15" t="s">
        <v>284</v>
      </c>
    </row>
    <row r="16" spans="1:17" x14ac:dyDescent="0.25">
      <c r="A16" t="s">
        <v>224</v>
      </c>
      <c r="C16" s="78">
        <v>5000</v>
      </c>
      <c r="E16" s="78"/>
      <c r="F16" s="78"/>
      <c r="G16" s="78"/>
      <c r="H16" s="78"/>
      <c r="I16" t="s">
        <v>224</v>
      </c>
      <c r="J16" t="s">
        <v>296</v>
      </c>
      <c r="L16" s="78"/>
      <c r="M16" s="78"/>
      <c r="N16" s="78"/>
      <c r="O16" s="78"/>
      <c r="P16" s="3"/>
    </row>
    <row r="17" spans="1:19" x14ac:dyDescent="0.25">
      <c r="A17" t="s">
        <v>488</v>
      </c>
      <c r="C17" s="78">
        <v>5000</v>
      </c>
      <c r="E17" s="78"/>
      <c r="F17" s="78"/>
      <c r="G17" s="78"/>
      <c r="H17" s="78">
        <f>C17</f>
        <v>5000</v>
      </c>
      <c r="J17" t="s">
        <v>360</v>
      </c>
      <c r="M17" s="78">
        <v>-2394</v>
      </c>
      <c r="N17" s="78"/>
      <c r="O17" s="78"/>
      <c r="P17" s="3"/>
      <c r="Q17" t="s">
        <v>489</v>
      </c>
    </row>
    <row r="18" spans="1:19" x14ac:dyDescent="0.25">
      <c r="A18" t="s">
        <v>449</v>
      </c>
      <c r="C18" s="78">
        <v>5500</v>
      </c>
      <c r="G18" s="78">
        <f>C18</f>
        <v>5500</v>
      </c>
      <c r="I18" t="s">
        <v>490</v>
      </c>
      <c r="J18" t="s">
        <v>360</v>
      </c>
      <c r="M18" s="78"/>
      <c r="N18" s="78"/>
      <c r="O18" s="78"/>
      <c r="P18" s="3"/>
      <c r="Q18" t="s">
        <v>491</v>
      </c>
      <c r="S18" s="84"/>
    </row>
    <row r="19" spans="1:19" x14ac:dyDescent="0.25">
      <c r="A19" t="s">
        <v>450</v>
      </c>
      <c r="C19" s="78">
        <v>7500</v>
      </c>
      <c r="E19" s="78"/>
      <c r="F19" s="78"/>
      <c r="G19" s="78">
        <f>C19</f>
        <v>7500</v>
      </c>
      <c r="H19" s="78"/>
      <c r="I19" t="s">
        <v>490</v>
      </c>
      <c r="J19" t="s">
        <v>272</v>
      </c>
      <c r="M19" s="78"/>
      <c r="N19" s="78"/>
      <c r="O19" s="78"/>
      <c r="P19" s="3"/>
      <c r="Q19" t="s">
        <v>492</v>
      </c>
      <c r="R19" s="84"/>
    </row>
    <row r="20" spans="1:19" x14ac:dyDescent="0.25">
      <c r="A20" t="s">
        <v>493</v>
      </c>
      <c r="C20" s="78">
        <v>5000</v>
      </c>
      <c r="E20" s="78"/>
      <c r="F20" s="78"/>
      <c r="G20" s="78"/>
      <c r="H20" s="78">
        <f>C20</f>
        <v>5000</v>
      </c>
      <c r="J20" t="s">
        <v>275</v>
      </c>
      <c r="L20" s="78">
        <v>-4481.13</v>
      </c>
      <c r="M20" s="78"/>
      <c r="N20" s="78"/>
      <c r="P20" s="3"/>
      <c r="Q20" s="82" t="s">
        <v>494</v>
      </c>
    </row>
    <row r="21" spans="1:19" x14ac:dyDescent="0.25">
      <c r="A21" t="s">
        <v>424</v>
      </c>
      <c r="C21" s="78"/>
      <c r="E21" s="78"/>
      <c r="F21" s="78"/>
      <c r="G21" s="78"/>
      <c r="H21" s="78"/>
      <c r="I21" t="s">
        <v>425</v>
      </c>
      <c r="J21" t="s">
        <v>275</v>
      </c>
      <c r="M21" s="78"/>
      <c r="N21" s="78">
        <v>-3800.71</v>
      </c>
      <c r="O21" s="84"/>
      <c r="P21" s="100"/>
      <c r="Q21" s="91" t="s">
        <v>495</v>
      </c>
    </row>
    <row r="22" spans="1:19" x14ac:dyDescent="0.25">
      <c r="A22" t="s">
        <v>496</v>
      </c>
      <c r="C22" s="78">
        <v>21200</v>
      </c>
      <c r="E22" s="78"/>
      <c r="F22" s="78"/>
      <c r="G22" s="78"/>
      <c r="H22" s="78"/>
      <c r="J22" t="s">
        <v>280</v>
      </c>
      <c r="L22" s="78"/>
      <c r="M22" s="78"/>
      <c r="N22" s="78"/>
      <c r="O22" s="78"/>
      <c r="P22" s="3"/>
    </row>
    <row r="23" spans="1:19" x14ac:dyDescent="0.25">
      <c r="A23" t="s">
        <v>161</v>
      </c>
      <c r="C23" s="78">
        <v>72.3</v>
      </c>
      <c r="G23" s="78">
        <f>C23</f>
        <v>72.3</v>
      </c>
      <c r="H23" s="78">
        <f>144.69+81.46</f>
        <v>226.14999999999998</v>
      </c>
      <c r="J23" t="s">
        <v>366</v>
      </c>
      <c r="M23" s="78">
        <v>-2801.6</v>
      </c>
      <c r="N23" s="78"/>
      <c r="O23" s="78"/>
      <c r="P23" s="3"/>
      <c r="Q23" t="s">
        <v>284</v>
      </c>
    </row>
    <row r="24" spans="1:19" x14ac:dyDescent="0.25">
      <c r="A24" t="s">
        <v>289</v>
      </c>
      <c r="C24" s="78">
        <v>15000</v>
      </c>
      <c r="E24" s="78">
        <v>240</v>
      </c>
      <c r="F24" s="78">
        <v>302.39999999999998</v>
      </c>
      <c r="G24" s="78">
        <v>408.75</v>
      </c>
      <c r="H24" s="78">
        <f>302.4+5</f>
        <v>307.39999999999998</v>
      </c>
      <c r="J24" t="s">
        <v>283</v>
      </c>
      <c r="L24" s="78"/>
      <c r="M24" s="78"/>
      <c r="N24" s="78"/>
      <c r="O24" s="78">
        <v>-4242.9799999999996</v>
      </c>
      <c r="P24" s="3"/>
      <c r="Q24" t="s">
        <v>284</v>
      </c>
    </row>
    <row r="25" spans="1:19" x14ac:dyDescent="0.25">
      <c r="C25" s="87">
        <f>SUM(C9:C24)</f>
        <v>167849.87</v>
      </c>
      <c r="E25" s="78"/>
      <c r="F25" s="78"/>
      <c r="G25" s="78"/>
      <c r="H25" s="78"/>
      <c r="J25" t="s">
        <v>285</v>
      </c>
      <c r="L25" s="78"/>
      <c r="M25" s="78"/>
      <c r="N25" s="78">
        <v>-1249.75</v>
      </c>
      <c r="O25" s="78"/>
      <c r="P25" s="3"/>
    </row>
    <row r="26" spans="1:19" x14ac:dyDescent="0.25">
      <c r="A26" s="1" t="s">
        <v>290</v>
      </c>
      <c r="C26" s="78"/>
      <c r="E26" s="78"/>
      <c r="F26" s="78"/>
      <c r="G26" s="78"/>
      <c r="H26" s="78"/>
      <c r="J26" t="s">
        <v>497</v>
      </c>
      <c r="L26" s="78"/>
      <c r="M26" s="78"/>
      <c r="N26" s="78">
        <v>-730</v>
      </c>
      <c r="O26" s="78"/>
      <c r="P26" s="3"/>
    </row>
    <row r="27" spans="1:19" x14ac:dyDescent="0.25">
      <c r="A27" t="s">
        <v>291</v>
      </c>
      <c r="C27" s="78"/>
      <c r="E27" s="78"/>
      <c r="F27" s="78"/>
      <c r="G27" s="78"/>
      <c r="H27" s="78">
        <v>-74462.570000000007</v>
      </c>
      <c r="I27" t="s">
        <v>498</v>
      </c>
      <c r="L27" s="78"/>
      <c r="M27" s="78"/>
      <c r="N27" s="78"/>
      <c r="O27" s="78"/>
    </row>
    <row r="28" spans="1:19" x14ac:dyDescent="0.25">
      <c r="A28" t="s">
        <v>294</v>
      </c>
      <c r="C28" s="78"/>
      <c r="E28" s="78"/>
      <c r="F28" s="78"/>
      <c r="G28" s="78">
        <v>-35782.160000000003</v>
      </c>
      <c r="H28" s="78"/>
      <c r="I28" t="s">
        <v>499</v>
      </c>
      <c r="L28" s="86">
        <f>SUM(L7:L25)</f>
        <v>-11681.130000000001</v>
      </c>
      <c r="M28" s="86">
        <f>SUM(M7:M25)</f>
        <v>-30205.569999999996</v>
      </c>
      <c r="N28" s="86">
        <f>SUM(N7:N26)</f>
        <v>-6434.37</v>
      </c>
      <c r="O28" s="86">
        <f>SUM(O7:O25)</f>
        <v>-4242.9799999999996</v>
      </c>
    </row>
    <row r="29" spans="1:19" x14ac:dyDescent="0.25">
      <c r="A29" t="s">
        <v>298</v>
      </c>
      <c r="C29" s="78"/>
      <c r="E29" s="78">
        <v>-15120</v>
      </c>
      <c r="F29" s="78"/>
      <c r="G29" s="78"/>
      <c r="H29" s="78">
        <v>0</v>
      </c>
      <c r="I29" s="1"/>
      <c r="L29" s="78"/>
      <c r="M29" s="78"/>
      <c r="N29" s="78"/>
      <c r="O29" s="78"/>
    </row>
    <row r="30" spans="1:19" x14ac:dyDescent="0.25">
      <c r="A30" t="s">
        <v>299</v>
      </c>
      <c r="C30" s="78"/>
      <c r="E30" s="78">
        <f>L32</f>
        <v>-11799.93</v>
      </c>
      <c r="F30" s="78">
        <f>M32</f>
        <v>-31094.899999999998</v>
      </c>
      <c r="G30" s="78">
        <f>N32</f>
        <v>-6903.37</v>
      </c>
      <c r="H30" s="78">
        <f>O32</f>
        <v>-4293.4199999999992</v>
      </c>
      <c r="I30" s="88">
        <f>SUM(E30:H30)</f>
        <v>-54091.62</v>
      </c>
      <c r="J30" t="s">
        <v>293</v>
      </c>
      <c r="L30" s="78">
        <v>-118.8</v>
      </c>
      <c r="M30" s="78">
        <v>-889.33</v>
      </c>
      <c r="N30" s="78">
        <v>-469</v>
      </c>
      <c r="O30" s="78">
        <f>-18-32.44</f>
        <v>-50.44</v>
      </c>
    </row>
    <row r="31" spans="1:19" x14ac:dyDescent="0.25">
      <c r="A31" s="1" t="s">
        <v>300</v>
      </c>
      <c r="C31" s="78"/>
      <c r="E31" s="89">
        <f>SUM(E27:E30)</f>
        <v>-26919.93</v>
      </c>
      <c r="F31" s="89">
        <f>SUM(F27:F30)</f>
        <v>-31094.899999999998</v>
      </c>
      <c r="G31" s="89">
        <f>SUM(G27:G30)</f>
        <v>-42685.530000000006</v>
      </c>
      <c r="H31" s="89">
        <f>SUM(H27:H30)</f>
        <v>-78755.990000000005</v>
      </c>
      <c r="I31" s="88">
        <f>SUM(E31:H31)</f>
        <v>-179456.35000000003</v>
      </c>
      <c r="L31" s="78"/>
      <c r="M31" s="78"/>
      <c r="N31" s="78"/>
      <c r="O31" s="78"/>
    </row>
    <row r="32" spans="1:19" x14ac:dyDescent="0.25">
      <c r="C32" s="78"/>
      <c r="E32" s="78"/>
      <c r="F32" s="78"/>
      <c r="G32" s="78"/>
      <c r="H32" s="78"/>
      <c r="J32" s="1" t="s">
        <v>297</v>
      </c>
      <c r="K32" s="1"/>
      <c r="L32" s="86">
        <f>L30+L28</f>
        <v>-11799.93</v>
      </c>
      <c r="M32" s="106">
        <f>M30+M28</f>
        <v>-31094.899999999998</v>
      </c>
      <c r="N32" s="106">
        <f>N30+N28</f>
        <v>-6903.37</v>
      </c>
      <c r="O32" s="86">
        <f>O30+O28</f>
        <v>-4293.4199999999992</v>
      </c>
      <c r="P32" s="88">
        <f>SUM(L32:O32)</f>
        <v>-54091.62</v>
      </c>
    </row>
    <row r="33" spans="1:15" x14ac:dyDescent="0.25">
      <c r="A33" s="1" t="s">
        <v>303</v>
      </c>
      <c r="C33" s="78"/>
      <c r="E33" s="78">
        <f>SUM(E8:E25)+E31</f>
        <v>-26679.93</v>
      </c>
      <c r="F33" s="78">
        <f>SUM(F8:F25)+F31</f>
        <v>6378.0700000000033</v>
      </c>
      <c r="G33" s="78">
        <f>SUM(G8:G25)+G31</f>
        <v>-29204.480000000007</v>
      </c>
      <c r="H33" s="78">
        <f>SUM(H8:H25)+H31</f>
        <v>-68222.44</v>
      </c>
      <c r="L33" s="78"/>
      <c r="M33" s="78"/>
      <c r="N33" s="78"/>
      <c r="O33" s="78"/>
    </row>
    <row r="34" spans="1:15" x14ac:dyDescent="0.25">
      <c r="C34" s="78"/>
      <c r="E34" s="78"/>
      <c r="F34" s="78"/>
      <c r="G34" s="78"/>
      <c r="H34" s="78"/>
      <c r="L34" s="78"/>
      <c r="M34" s="78"/>
      <c r="N34" s="78"/>
      <c r="O34" s="78"/>
    </row>
    <row r="35" spans="1:15" x14ac:dyDescent="0.25">
      <c r="A35" s="1" t="s">
        <v>304</v>
      </c>
      <c r="C35" s="78"/>
      <c r="E35" s="86">
        <f>E6+E33</f>
        <v>212166.15000000002</v>
      </c>
      <c r="F35" s="86">
        <f>F6+F33</f>
        <v>218544.22000000003</v>
      </c>
      <c r="G35" s="86">
        <f>G6+G33</f>
        <v>189339.74000000002</v>
      </c>
      <c r="H35" s="86">
        <f>H6+H33</f>
        <v>121117.30000000002</v>
      </c>
      <c r="L35" s="78"/>
      <c r="M35" s="78"/>
      <c r="N35" s="78"/>
      <c r="O35" s="78"/>
    </row>
    <row r="36" spans="1:15" x14ac:dyDescent="0.25">
      <c r="A36" t="s">
        <v>305</v>
      </c>
      <c r="C36" s="78"/>
      <c r="E36" s="78">
        <v>212166.17</v>
      </c>
      <c r="F36" s="78">
        <v>218544.24</v>
      </c>
      <c r="G36" s="78">
        <v>189339.76</v>
      </c>
      <c r="H36" s="78">
        <v>121117.32</v>
      </c>
      <c r="I36" s="78"/>
      <c r="L36" s="78"/>
      <c r="M36" s="78"/>
      <c r="N36" s="78"/>
      <c r="O36" s="78"/>
    </row>
    <row r="37" spans="1:15" x14ac:dyDescent="0.25">
      <c r="C37" s="78"/>
      <c r="E37" s="78"/>
      <c r="F37" s="78"/>
      <c r="G37" s="78"/>
      <c r="H37" s="78"/>
      <c r="L37" s="78"/>
      <c r="M37" s="78"/>
      <c r="N37" s="78"/>
      <c r="O37" s="78"/>
    </row>
    <row r="38" spans="1:15" x14ac:dyDescent="0.25">
      <c r="C38" s="78"/>
      <c r="E38" s="78"/>
      <c r="F38" s="78"/>
      <c r="G38" s="78"/>
      <c r="H38" s="78"/>
      <c r="L38" s="78"/>
      <c r="M38" s="78"/>
      <c r="N38" s="78"/>
      <c r="O38" s="78"/>
    </row>
    <row r="39" spans="1:15" x14ac:dyDescent="0.25">
      <c r="A39" s="85" t="s">
        <v>244</v>
      </c>
      <c r="B39" s="3"/>
      <c r="C39" s="5"/>
      <c r="D39" s="3"/>
      <c r="E39" s="98" t="s">
        <v>433</v>
      </c>
      <c r="F39" s="98" t="s">
        <v>434</v>
      </c>
      <c r="G39" s="98" t="s">
        <v>435</v>
      </c>
      <c r="H39" s="98" t="s">
        <v>436</v>
      </c>
      <c r="I39" s="3"/>
      <c r="L39" s="78"/>
      <c r="M39" s="78"/>
      <c r="N39" s="78"/>
      <c r="O39" s="78"/>
    </row>
    <row r="40" spans="1:15" x14ac:dyDescent="0.25">
      <c r="A40" s="3"/>
      <c r="B40" s="3"/>
      <c r="C40" s="3"/>
      <c r="D40" s="3"/>
      <c r="E40" s="3"/>
      <c r="F40" s="3"/>
      <c r="G40" s="3"/>
      <c r="H40" s="3"/>
      <c r="I40" s="3"/>
      <c r="L40" s="78"/>
      <c r="M40" s="78"/>
      <c r="N40" s="78"/>
      <c r="O40" s="78"/>
    </row>
    <row r="41" spans="1:15" x14ac:dyDescent="0.25">
      <c r="A41" s="1" t="s">
        <v>250</v>
      </c>
      <c r="C41" s="78"/>
      <c r="E41" s="86">
        <v>113106.19</v>
      </c>
      <c r="F41" s="86">
        <f>E74</f>
        <v>91426.260000000009</v>
      </c>
      <c r="G41" s="86">
        <f>F74</f>
        <v>66883.760000000009</v>
      </c>
      <c r="H41" s="86">
        <f>G74</f>
        <v>265249.73</v>
      </c>
      <c r="L41" s="78"/>
      <c r="M41" s="78"/>
      <c r="N41" s="78"/>
      <c r="O41" s="78"/>
    </row>
    <row r="42" spans="1:15" x14ac:dyDescent="0.25">
      <c r="C42" s="78"/>
      <c r="E42" s="78"/>
      <c r="F42" s="78"/>
      <c r="G42" s="78"/>
      <c r="H42" s="78"/>
      <c r="L42" s="78"/>
      <c r="M42" s="78"/>
      <c r="N42" s="78"/>
      <c r="O42" s="78"/>
    </row>
    <row r="43" spans="1:15" x14ac:dyDescent="0.25">
      <c r="A43" s="1" t="s">
        <v>437</v>
      </c>
      <c r="C43" s="78"/>
      <c r="E43" s="78"/>
      <c r="F43" s="78"/>
      <c r="G43" s="78"/>
      <c r="H43" s="78"/>
      <c r="L43" s="78"/>
      <c r="M43" s="78"/>
      <c r="N43" s="78"/>
      <c r="O43" s="78"/>
    </row>
    <row r="44" spans="1:15" x14ac:dyDescent="0.25">
      <c r="A44" t="s">
        <v>438</v>
      </c>
      <c r="C44" s="78">
        <v>18000</v>
      </c>
      <c r="E44" s="78"/>
      <c r="F44" s="78"/>
      <c r="G44" s="78"/>
      <c r="H44" s="78">
        <f>C44</f>
        <v>18000</v>
      </c>
      <c r="I44">
        <f>I9</f>
        <v>0</v>
      </c>
      <c r="L44" s="78"/>
      <c r="M44" s="78"/>
      <c r="N44" s="78"/>
      <c r="O44" s="78"/>
    </row>
    <row r="45" spans="1:15" x14ac:dyDescent="0.25">
      <c r="A45" t="s">
        <v>439</v>
      </c>
      <c r="C45" s="78">
        <v>75000</v>
      </c>
      <c r="E45" s="78"/>
      <c r="F45" s="78"/>
      <c r="G45" s="78">
        <f>C45</f>
        <v>75000</v>
      </c>
      <c r="H45" s="78"/>
    </row>
    <row r="46" spans="1:15" x14ac:dyDescent="0.25">
      <c r="A46" s="84" t="s">
        <v>349</v>
      </c>
      <c r="B46" s="84"/>
      <c r="C46" s="90">
        <v>25000</v>
      </c>
      <c r="E46" s="78"/>
      <c r="F46" s="78"/>
      <c r="G46" s="78"/>
      <c r="H46" s="78"/>
      <c r="I46" t="s">
        <v>440</v>
      </c>
    </row>
    <row r="47" spans="1:15" x14ac:dyDescent="0.25">
      <c r="A47" s="84" t="s">
        <v>224</v>
      </c>
      <c r="B47" s="84"/>
      <c r="C47" s="90">
        <v>20000</v>
      </c>
      <c r="E47" s="78"/>
      <c r="F47" s="78"/>
      <c r="G47" s="78"/>
      <c r="H47" s="78"/>
      <c r="I47" t="s">
        <v>440</v>
      </c>
    </row>
    <row r="48" spans="1:15" x14ac:dyDescent="0.25">
      <c r="A48" t="s">
        <v>441</v>
      </c>
      <c r="C48" s="78">
        <v>7171</v>
      </c>
      <c r="E48" s="78"/>
      <c r="F48" s="78"/>
      <c r="G48" s="78">
        <f>C48</f>
        <v>7171</v>
      </c>
      <c r="H48" s="78"/>
    </row>
    <row r="49" spans="1:9" x14ac:dyDescent="0.25">
      <c r="A49" t="s">
        <v>442</v>
      </c>
      <c r="C49" s="78">
        <v>125000</v>
      </c>
      <c r="E49" s="78"/>
      <c r="F49" s="78"/>
      <c r="G49" s="78">
        <f>C49</f>
        <v>125000</v>
      </c>
      <c r="H49" s="78"/>
    </row>
    <row r="50" spans="1:9" x14ac:dyDescent="0.25">
      <c r="A50" t="s">
        <v>443</v>
      </c>
      <c r="C50" s="78">
        <v>30000</v>
      </c>
      <c r="E50" s="78"/>
      <c r="F50" s="78"/>
      <c r="G50" s="78"/>
      <c r="H50" s="78"/>
    </row>
    <row r="51" spans="1:9" x14ac:dyDescent="0.25">
      <c r="A51" s="84" t="s">
        <v>444</v>
      </c>
      <c r="B51" s="84"/>
      <c r="C51" s="90">
        <v>5000</v>
      </c>
      <c r="E51" s="78"/>
      <c r="F51" s="78"/>
      <c r="G51" s="78"/>
      <c r="H51" s="78"/>
      <c r="I51" t="s">
        <v>440</v>
      </c>
    </row>
    <row r="52" spans="1:9" x14ac:dyDescent="0.25">
      <c r="A52" t="s">
        <v>445</v>
      </c>
      <c r="C52" s="78">
        <v>33471.75</v>
      </c>
      <c r="F52" s="78"/>
      <c r="G52" s="78">
        <f>C52</f>
        <v>33471.75</v>
      </c>
      <c r="H52" s="78"/>
    </row>
    <row r="53" spans="1:9" x14ac:dyDescent="0.25">
      <c r="A53" t="s">
        <v>364</v>
      </c>
      <c r="C53" s="78">
        <v>10000</v>
      </c>
      <c r="E53" s="78"/>
      <c r="F53" s="78"/>
      <c r="G53" s="78"/>
      <c r="H53" s="78"/>
    </row>
    <row r="54" spans="1:9" x14ac:dyDescent="0.25">
      <c r="A54" t="s">
        <v>321</v>
      </c>
      <c r="C54" s="78">
        <v>12500</v>
      </c>
      <c r="E54" s="78"/>
      <c r="F54" s="78">
        <v>6250</v>
      </c>
      <c r="G54" s="78"/>
      <c r="H54" s="78"/>
    </row>
    <row r="55" spans="1:9" x14ac:dyDescent="0.25">
      <c r="A55" t="s">
        <v>446</v>
      </c>
      <c r="C55" s="78">
        <v>5000</v>
      </c>
      <c r="E55" s="78">
        <f>C55</f>
        <v>5000</v>
      </c>
      <c r="F55" s="78"/>
      <c r="G55" s="78"/>
      <c r="H55" s="78"/>
    </row>
    <row r="56" spans="1:9" x14ac:dyDescent="0.25">
      <c r="A56" s="84" t="s">
        <v>447</v>
      </c>
      <c r="B56" s="84"/>
      <c r="C56" s="90">
        <v>30000</v>
      </c>
      <c r="E56" s="78"/>
      <c r="F56" s="78"/>
      <c r="G56" s="78"/>
      <c r="H56" s="78"/>
      <c r="I56" t="s">
        <v>440</v>
      </c>
    </row>
    <row r="57" spans="1:9" x14ac:dyDescent="0.25">
      <c r="A57" s="84" t="s">
        <v>448</v>
      </c>
      <c r="B57" s="84"/>
      <c r="C57" s="90">
        <v>25000</v>
      </c>
      <c r="E57" s="78"/>
      <c r="F57" s="78"/>
      <c r="G57" s="78"/>
      <c r="H57" s="78"/>
      <c r="I57" t="s">
        <v>440</v>
      </c>
    </row>
    <row r="58" spans="1:9" x14ac:dyDescent="0.25">
      <c r="A58" t="s">
        <v>449</v>
      </c>
      <c r="C58" s="78">
        <v>5500</v>
      </c>
      <c r="I58" t="str">
        <f>I18</f>
        <v xml:space="preserve">  Remittance advice rec'd 16th Jan 2018</v>
      </c>
    </row>
    <row r="59" spans="1:9" x14ac:dyDescent="0.25">
      <c r="A59" t="s">
        <v>450</v>
      </c>
      <c r="C59" s="78">
        <v>7500</v>
      </c>
      <c r="I59" t="str">
        <f>I19</f>
        <v xml:space="preserve">  Remittance advice rec'd 16th Jan 2018</v>
      </c>
    </row>
    <row r="60" spans="1:9" x14ac:dyDescent="0.25">
      <c r="A60" t="s">
        <v>424</v>
      </c>
      <c r="C60" s="78">
        <v>25000</v>
      </c>
      <c r="E60" s="78"/>
      <c r="F60" s="78"/>
      <c r="G60" s="78"/>
      <c r="H60" s="78"/>
    </row>
    <row r="61" spans="1:9" x14ac:dyDescent="0.25">
      <c r="A61" t="s">
        <v>420</v>
      </c>
      <c r="C61" s="78">
        <v>22000</v>
      </c>
    </row>
    <row r="62" spans="1:9" x14ac:dyDescent="0.25">
      <c r="A62" t="s">
        <v>451</v>
      </c>
      <c r="C62" s="78">
        <v>7500</v>
      </c>
      <c r="E62" s="78"/>
      <c r="F62" s="78"/>
      <c r="G62" s="78"/>
      <c r="H62" s="78"/>
      <c r="I62" t="s">
        <v>452</v>
      </c>
    </row>
    <row r="63" spans="1:9" x14ac:dyDescent="0.25">
      <c r="A63" t="s">
        <v>299</v>
      </c>
      <c r="C63" s="78"/>
      <c r="E63" s="78">
        <f>E24</f>
        <v>240</v>
      </c>
      <c r="F63" s="78">
        <f>F24</f>
        <v>302.39999999999998</v>
      </c>
      <c r="G63" s="78">
        <f>G24</f>
        <v>408.75</v>
      </c>
      <c r="H63" s="78"/>
    </row>
    <row r="64" spans="1:9" x14ac:dyDescent="0.25">
      <c r="C64" s="87">
        <f>SUM(C44:C62)</f>
        <v>488642.75</v>
      </c>
      <c r="E64" s="78"/>
      <c r="F64" s="78"/>
      <c r="G64" s="78"/>
      <c r="H64" s="78"/>
    </row>
    <row r="65" spans="1:9" x14ac:dyDescent="0.25">
      <c r="A65" s="1" t="s">
        <v>290</v>
      </c>
      <c r="C65" s="78"/>
      <c r="E65" s="78"/>
      <c r="F65" s="78"/>
      <c r="G65" s="78"/>
      <c r="H65" s="78"/>
    </row>
    <row r="66" spans="1:9" x14ac:dyDescent="0.25">
      <c r="A66" t="s">
        <v>291</v>
      </c>
      <c r="C66" s="78"/>
      <c r="E66" s="78"/>
      <c r="F66" s="78"/>
      <c r="G66" s="78">
        <v>-73000</v>
      </c>
      <c r="H66" s="78"/>
      <c r="I66" t="s">
        <v>453</v>
      </c>
    </row>
    <row r="67" spans="1:9" x14ac:dyDescent="0.25">
      <c r="A67" t="s">
        <v>294</v>
      </c>
      <c r="C67" s="78"/>
      <c r="E67" s="78"/>
      <c r="F67" s="78"/>
      <c r="G67" s="78">
        <v>-35546</v>
      </c>
      <c r="H67" s="78"/>
      <c r="I67" t="s">
        <v>454</v>
      </c>
    </row>
    <row r="68" spans="1:9" x14ac:dyDescent="0.25">
      <c r="A68" t="s">
        <v>298</v>
      </c>
      <c r="C68" s="78"/>
      <c r="E68" s="78"/>
      <c r="F68" s="78"/>
      <c r="G68" s="78"/>
      <c r="H68" s="78">
        <v>-15120</v>
      </c>
      <c r="I68" t="s">
        <v>301</v>
      </c>
    </row>
    <row r="69" spans="1:9" x14ac:dyDescent="0.25">
      <c r="A69" t="s">
        <v>299</v>
      </c>
      <c r="C69" s="78"/>
      <c r="E69" s="78">
        <f>L71</f>
        <v>0</v>
      </c>
      <c r="F69" s="78">
        <f>M71</f>
        <v>0</v>
      </c>
      <c r="G69" s="78">
        <f>N71</f>
        <v>0</v>
      </c>
      <c r="H69" s="78">
        <f>O71</f>
        <v>0</v>
      </c>
      <c r="I69" s="88">
        <f>SUM(E69:H69)</f>
        <v>0</v>
      </c>
    </row>
    <row r="70" spans="1:9" x14ac:dyDescent="0.25">
      <c r="A70" s="1" t="s">
        <v>300</v>
      </c>
      <c r="C70" s="78"/>
      <c r="E70" s="89">
        <f>E31</f>
        <v>-26919.93</v>
      </c>
      <c r="F70" s="89">
        <f>F31</f>
        <v>-31094.899999999998</v>
      </c>
      <c r="G70" s="89">
        <f>G31</f>
        <v>-42685.530000000006</v>
      </c>
      <c r="H70" s="89">
        <f>H31</f>
        <v>-78755.990000000005</v>
      </c>
      <c r="I70" s="88">
        <f>SUM(E70:H70)</f>
        <v>-179456.35000000003</v>
      </c>
    </row>
    <row r="71" spans="1:9" x14ac:dyDescent="0.25">
      <c r="C71" s="78"/>
      <c r="E71" s="78"/>
      <c r="F71" s="78"/>
      <c r="G71" s="78"/>
      <c r="H71" s="78"/>
    </row>
    <row r="72" spans="1:9" x14ac:dyDescent="0.25">
      <c r="A72" s="1" t="s">
        <v>303</v>
      </c>
      <c r="C72" s="78"/>
      <c r="E72" s="78">
        <f>SUM(E43:E64)+E70</f>
        <v>-21679.93</v>
      </c>
      <c r="F72" s="78">
        <f>SUM(F43:F64)+F70</f>
        <v>-24542.5</v>
      </c>
      <c r="G72" s="78">
        <f>SUM(G43:G64)+G70</f>
        <v>198365.97</v>
      </c>
      <c r="H72" s="78">
        <f>SUM(H43:H64)+H70</f>
        <v>-60755.990000000005</v>
      </c>
    </row>
    <row r="73" spans="1:9" x14ac:dyDescent="0.25">
      <c r="C73" s="78"/>
      <c r="E73" s="78"/>
      <c r="F73" s="78"/>
      <c r="G73" s="78"/>
      <c r="H73" s="78"/>
    </row>
    <row r="74" spans="1:9" x14ac:dyDescent="0.25">
      <c r="A74" s="1" t="s">
        <v>304</v>
      </c>
      <c r="C74" s="78"/>
      <c r="E74" s="86">
        <f>E41+E72</f>
        <v>91426.260000000009</v>
      </c>
      <c r="F74" s="86">
        <f>F41+F72</f>
        <v>66883.760000000009</v>
      </c>
      <c r="G74" s="86">
        <f>G41+G72</f>
        <v>265249.73</v>
      </c>
      <c r="H74" s="86">
        <f>H41+H72</f>
        <v>204493.74</v>
      </c>
    </row>
  </sheetData>
  <pageMargins left="0.25" right="0.25" top="0.75" bottom="0.75" header="0.3" footer="0.3"/>
  <pageSetup paperSize="8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theme="1" tint="4.9989318521683403E-2"/>
    <pageSetUpPr fitToPage="1"/>
  </sheetPr>
  <dimension ref="A1:I64"/>
  <sheetViews>
    <sheetView topLeftCell="A25" zoomScale="80" zoomScaleNormal="80" workbookViewId="0">
      <selection activeCell="C44" sqref="C44:F47"/>
    </sheetView>
  </sheetViews>
  <sheetFormatPr defaultColWidth="9.140625" defaultRowHeight="12.75" x14ac:dyDescent="0.2"/>
  <cols>
    <col min="1" max="1" width="44" style="51" customWidth="1"/>
    <col min="2" max="2" width="9.5703125" style="51" customWidth="1"/>
    <col min="3" max="5" width="11.42578125" style="53" customWidth="1"/>
    <col min="6" max="6" width="12" style="53" bestFit="1" customWidth="1"/>
    <col min="7" max="7" width="9.140625" style="54"/>
    <col min="8" max="8" width="47.42578125" style="51" customWidth="1"/>
    <col min="9" max="9" width="47.28515625" style="51" bestFit="1" customWidth="1"/>
    <col min="10" max="16384" width="9.140625" style="51"/>
  </cols>
  <sheetData>
    <row r="1" spans="1:9" x14ac:dyDescent="0.2">
      <c r="A1" s="50" t="s">
        <v>142</v>
      </c>
      <c r="C1" s="52" t="s">
        <v>70</v>
      </c>
    </row>
    <row r="2" spans="1:9" x14ac:dyDescent="0.2">
      <c r="A2" s="55" t="s">
        <v>500</v>
      </c>
    </row>
    <row r="3" spans="1:9" x14ac:dyDescent="0.2">
      <c r="A3" s="55"/>
    </row>
    <row r="4" spans="1:9" ht="25.5" x14ac:dyDescent="0.2">
      <c r="A4" s="56" t="s">
        <v>501</v>
      </c>
      <c r="B4" s="57" t="s">
        <v>145</v>
      </c>
      <c r="C4" s="58">
        <f>Dec!C51</f>
        <v>238845.98000000004</v>
      </c>
      <c r="D4" s="58">
        <f>Dec!D51</f>
        <v>238845.98000000004</v>
      </c>
      <c r="E4" s="58">
        <f>Dec!E51</f>
        <v>238845.95000000007</v>
      </c>
      <c r="F4" s="58">
        <f>Dec!F51</f>
        <v>238846.20000000007</v>
      </c>
    </row>
    <row r="6" spans="1:9" x14ac:dyDescent="0.2">
      <c r="A6" s="50" t="s">
        <v>146</v>
      </c>
      <c r="B6" s="50"/>
      <c r="C6" s="52" t="s">
        <v>108</v>
      </c>
      <c r="D6" s="52" t="s">
        <v>109</v>
      </c>
      <c r="E6" s="52" t="s">
        <v>147</v>
      </c>
      <c r="F6" s="52" t="s">
        <v>148</v>
      </c>
      <c r="G6" s="59" t="s">
        <v>149</v>
      </c>
      <c r="H6" s="50" t="s">
        <v>150</v>
      </c>
      <c r="I6" s="94" t="s">
        <v>151</v>
      </c>
    </row>
    <row r="7" spans="1:9" x14ac:dyDescent="0.2">
      <c r="C7" s="60"/>
      <c r="D7" s="60"/>
      <c r="E7" s="60"/>
      <c r="F7" s="60"/>
    </row>
    <row r="8" spans="1:9" x14ac:dyDescent="0.2">
      <c r="A8" s="50" t="s">
        <v>56</v>
      </c>
      <c r="B8" s="50"/>
    </row>
    <row r="9" spans="1:9" ht="15" customHeight="1" x14ac:dyDescent="0.2">
      <c r="A9" s="73" t="s">
        <v>315</v>
      </c>
      <c r="B9" s="51" t="s">
        <v>55</v>
      </c>
      <c r="C9" s="60"/>
      <c r="D9" s="60"/>
      <c r="E9" s="60"/>
      <c r="F9" s="60"/>
      <c r="G9" s="54" t="s">
        <v>204</v>
      </c>
      <c r="H9" s="51" t="s">
        <v>502</v>
      </c>
      <c r="I9" s="80" t="s">
        <v>503</v>
      </c>
    </row>
    <row r="10" spans="1:9" ht="15" customHeight="1" x14ac:dyDescent="0.2">
      <c r="A10" s="73" t="s">
        <v>224</v>
      </c>
      <c r="B10" s="51" t="s">
        <v>156</v>
      </c>
      <c r="C10" s="60"/>
      <c r="D10" s="60"/>
      <c r="E10" s="60"/>
      <c r="F10" s="60"/>
      <c r="G10" s="54" t="s">
        <v>457</v>
      </c>
      <c r="H10" s="51" t="s">
        <v>504</v>
      </c>
    </row>
    <row r="11" spans="1:9" ht="15" customHeight="1" x14ac:dyDescent="0.2">
      <c r="A11" s="73" t="s">
        <v>441</v>
      </c>
      <c r="B11" s="51" t="s">
        <v>18</v>
      </c>
      <c r="C11" s="53">
        <v>7170.57</v>
      </c>
      <c r="D11" s="53">
        <v>7170.57</v>
      </c>
      <c r="E11" s="53">
        <f>D11</f>
        <v>7170.57</v>
      </c>
      <c r="F11" s="53">
        <f>E11</f>
        <v>7170.57</v>
      </c>
      <c r="G11" s="54" t="s">
        <v>153</v>
      </c>
      <c r="H11" s="51" t="s">
        <v>505</v>
      </c>
      <c r="I11" s="50"/>
    </row>
    <row r="12" spans="1:9" ht="15" customHeight="1" x14ac:dyDescent="0.2">
      <c r="A12" s="96" t="s">
        <v>378</v>
      </c>
      <c r="B12" s="51" t="s">
        <v>18</v>
      </c>
      <c r="C12" s="60"/>
      <c r="D12" s="60"/>
      <c r="E12" s="60"/>
      <c r="F12" s="60"/>
      <c r="G12" s="54" t="s">
        <v>379</v>
      </c>
      <c r="H12" s="51" t="s">
        <v>506</v>
      </c>
      <c r="I12" s="51" t="s">
        <v>507</v>
      </c>
    </row>
    <row r="13" spans="1:9" x14ac:dyDescent="0.2">
      <c r="A13" s="49"/>
      <c r="C13" s="60"/>
      <c r="D13" s="60"/>
      <c r="E13" s="60"/>
      <c r="F13" s="60"/>
    </row>
    <row r="14" spans="1:9" x14ac:dyDescent="0.2">
      <c r="A14" s="49"/>
      <c r="C14" s="60"/>
      <c r="D14" s="60"/>
      <c r="E14" s="60"/>
      <c r="F14" s="60"/>
    </row>
    <row r="15" spans="1:9" x14ac:dyDescent="0.2">
      <c r="A15" s="50" t="s">
        <v>57</v>
      </c>
      <c r="B15" s="50"/>
      <c r="C15" s="60"/>
      <c r="D15" s="60"/>
      <c r="E15" s="60"/>
      <c r="F15" s="60"/>
    </row>
    <row r="16" spans="1:9" x14ac:dyDescent="0.2">
      <c r="A16" s="72" t="s">
        <v>508</v>
      </c>
      <c r="B16" s="51" t="s">
        <v>18</v>
      </c>
      <c r="C16" s="60"/>
      <c r="D16" s="60"/>
      <c r="E16" s="60"/>
      <c r="F16" s="60"/>
      <c r="H16" s="51" t="s">
        <v>509</v>
      </c>
    </row>
    <row r="17" spans="1:9" x14ac:dyDescent="0.2">
      <c r="C17" s="60"/>
      <c r="D17" s="60"/>
      <c r="E17" s="60"/>
      <c r="F17" s="60"/>
    </row>
    <row r="18" spans="1:9" x14ac:dyDescent="0.2">
      <c r="C18" s="60"/>
      <c r="D18" s="60"/>
      <c r="E18" s="60"/>
      <c r="F18" s="60"/>
    </row>
    <row r="19" spans="1:9" x14ac:dyDescent="0.2">
      <c r="A19" s="50" t="s">
        <v>58</v>
      </c>
      <c r="B19" s="50"/>
      <c r="C19" s="60"/>
      <c r="D19" s="60"/>
      <c r="E19" s="60"/>
      <c r="F19" s="60"/>
    </row>
    <row r="20" spans="1:9" ht="15" customHeight="1" x14ac:dyDescent="0.2">
      <c r="A20" s="95" t="s">
        <v>510</v>
      </c>
      <c r="B20" s="49" t="s">
        <v>17</v>
      </c>
      <c r="C20" s="60">
        <v>30000</v>
      </c>
      <c r="D20" s="53">
        <v>30000</v>
      </c>
      <c r="E20" s="60">
        <v>30000</v>
      </c>
      <c r="F20" s="60">
        <v>30000</v>
      </c>
      <c r="G20" s="54" t="s">
        <v>511</v>
      </c>
      <c r="H20" s="51" t="s">
        <v>512</v>
      </c>
    </row>
    <row r="21" spans="1:9" x14ac:dyDescent="0.2">
      <c r="A21" s="49" t="s">
        <v>464</v>
      </c>
      <c r="B21" s="49"/>
      <c r="C21" s="60"/>
      <c r="D21" s="60"/>
      <c r="E21" s="60"/>
      <c r="F21" s="60"/>
      <c r="H21" s="80"/>
    </row>
    <row r="22" spans="1:9" x14ac:dyDescent="0.2">
      <c r="C22" s="60"/>
      <c r="D22" s="60"/>
      <c r="E22" s="60"/>
      <c r="F22" s="60"/>
    </row>
    <row r="23" spans="1:9" x14ac:dyDescent="0.2">
      <c r="A23" s="50" t="s">
        <v>157</v>
      </c>
      <c r="B23" s="50"/>
      <c r="C23" s="60"/>
      <c r="D23" s="60"/>
      <c r="E23" s="60"/>
      <c r="F23" s="60"/>
    </row>
    <row r="24" spans="1:9" x14ac:dyDescent="0.2">
      <c r="A24" s="95" t="s">
        <v>513</v>
      </c>
      <c r="B24" s="51" t="s">
        <v>17</v>
      </c>
      <c r="C24" s="60">
        <v>5000</v>
      </c>
      <c r="D24" s="60">
        <f>C24</f>
        <v>5000</v>
      </c>
      <c r="E24" s="60">
        <f>D24</f>
        <v>5000</v>
      </c>
      <c r="F24" s="60">
        <v>5000</v>
      </c>
      <c r="G24" s="54" t="s">
        <v>514</v>
      </c>
      <c r="H24" s="51" t="s">
        <v>515</v>
      </c>
      <c r="I24" s="51" t="s">
        <v>464</v>
      </c>
    </row>
    <row r="25" spans="1:9" ht="15" customHeight="1" x14ac:dyDescent="0.2">
      <c r="A25" s="73" t="s">
        <v>364</v>
      </c>
      <c r="B25" s="49" t="s">
        <v>17</v>
      </c>
      <c r="C25" s="60">
        <v>5000</v>
      </c>
      <c r="D25" s="60">
        <v>5000</v>
      </c>
      <c r="E25" s="60">
        <v>5000</v>
      </c>
      <c r="F25" s="60">
        <v>5000</v>
      </c>
      <c r="G25" s="54" t="s">
        <v>516</v>
      </c>
      <c r="H25" s="51" t="s">
        <v>517</v>
      </c>
      <c r="I25" s="50"/>
    </row>
    <row r="26" spans="1:9" ht="15" customHeight="1" x14ac:dyDescent="0.2">
      <c r="A26" s="96" t="s">
        <v>518</v>
      </c>
      <c r="B26" s="51" t="s">
        <v>18</v>
      </c>
      <c r="C26" s="60">
        <v>5500</v>
      </c>
      <c r="D26" s="60">
        <v>5500</v>
      </c>
      <c r="E26" s="60">
        <f>D26</f>
        <v>5500</v>
      </c>
      <c r="F26" s="60">
        <f>E26</f>
        <v>5500</v>
      </c>
      <c r="G26" s="54" t="s">
        <v>386</v>
      </c>
      <c r="H26" s="51" t="s">
        <v>519</v>
      </c>
      <c r="I26" s="80"/>
    </row>
    <row r="27" spans="1:9" ht="15" customHeight="1" x14ac:dyDescent="0.2">
      <c r="A27" s="96" t="s">
        <v>518</v>
      </c>
      <c r="B27" s="51" t="s">
        <v>18</v>
      </c>
      <c r="C27" s="60">
        <v>7500</v>
      </c>
      <c r="D27" s="60">
        <v>7500</v>
      </c>
      <c r="E27" s="60">
        <f>D27</f>
        <v>7500</v>
      </c>
      <c r="F27" s="60">
        <f>E27</f>
        <v>7500</v>
      </c>
      <c r="G27" s="54" t="s">
        <v>386</v>
      </c>
      <c r="H27" s="51" t="s">
        <v>519</v>
      </c>
      <c r="I27" s="80"/>
    </row>
    <row r="28" spans="1:9" ht="15" customHeight="1" x14ac:dyDescent="0.2">
      <c r="A28" s="49"/>
      <c r="C28" s="60"/>
      <c r="D28" s="60"/>
      <c r="E28" s="60"/>
      <c r="F28" s="60"/>
    </row>
    <row r="29" spans="1:9" x14ac:dyDescent="0.2">
      <c r="C29" s="60"/>
      <c r="D29" s="60"/>
      <c r="E29" s="60"/>
      <c r="F29" s="60"/>
    </row>
    <row r="30" spans="1:9" x14ac:dyDescent="0.2">
      <c r="C30" s="60"/>
      <c r="D30" s="60"/>
      <c r="E30" s="60"/>
      <c r="F30" s="60"/>
    </row>
    <row r="31" spans="1:9" x14ac:dyDescent="0.2">
      <c r="A31" s="49"/>
      <c r="C31" s="60"/>
      <c r="D31" s="60"/>
      <c r="E31" s="60"/>
      <c r="F31" s="60"/>
    </row>
    <row r="32" spans="1:9" x14ac:dyDescent="0.2">
      <c r="A32" s="50" t="s">
        <v>133</v>
      </c>
      <c r="B32" s="49"/>
      <c r="C32" s="60"/>
      <c r="D32" s="60"/>
      <c r="E32" s="60"/>
      <c r="F32" s="60"/>
    </row>
    <row r="33" spans="1:9" x14ac:dyDescent="0.2">
      <c r="A33" s="51" t="s">
        <v>520</v>
      </c>
      <c r="B33" s="49"/>
      <c r="C33" s="60">
        <f>72.3+144.69+81.46</f>
        <v>298.45</v>
      </c>
      <c r="D33" s="60">
        <f t="shared" ref="D33:F37" si="0">C33</f>
        <v>298.45</v>
      </c>
      <c r="E33" s="60">
        <f t="shared" si="0"/>
        <v>298.45</v>
      </c>
      <c r="F33" s="60">
        <f t="shared" si="0"/>
        <v>298.45</v>
      </c>
      <c r="H33" s="51" t="s">
        <v>521</v>
      </c>
      <c r="I33" s="97"/>
    </row>
    <row r="34" spans="1:9" x14ac:dyDescent="0.2">
      <c r="A34" s="51" t="s">
        <v>522</v>
      </c>
      <c r="B34" s="49"/>
      <c r="C34" s="60">
        <f>302.4+302.4</f>
        <v>604.79999999999995</v>
      </c>
      <c r="D34" s="60">
        <f t="shared" si="0"/>
        <v>604.79999999999995</v>
      </c>
      <c r="E34" s="60">
        <f t="shared" si="0"/>
        <v>604.79999999999995</v>
      </c>
      <c r="F34" s="60">
        <f t="shared" si="0"/>
        <v>604.79999999999995</v>
      </c>
    </row>
    <row r="35" spans="1:9" x14ac:dyDescent="0.2">
      <c r="A35" s="51" t="s">
        <v>523</v>
      </c>
      <c r="B35" s="49"/>
      <c r="C35" s="60">
        <v>5</v>
      </c>
      <c r="D35" s="60">
        <f t="shared" si="0"/>
        <v>5</v>
      </c>
      <c r="E35" s="60">
        <f t="shared" si="0"/>
        <v>5</v>
      </c>
      <c r="F35" s="60">
        <f t="shared" si="0"/>
        <v>5</v>
      </c>
    </row>
    <row r="36" spans="1:9" x14ac:dyDescent="0.2">
      <c r="A36" s="51" t="s">
        <v>524</v>
      </c>
      <c r="B36" s="49"/>
      <c r="C36" s="60">
        <v>240</v>
      </c>
      <c r="D36" s="60">
        <f t="shared" si="0"/>
        <v>240</v>
      </c>
      <c r="E36" s="60">
        <f t="shared" si="0"/>
        <v>240</v>
      </c>
      <c r="F36" s="60">
        <f t="shared" si="0"/>
        <v>240</v>
      </c>
    </row>
    <row r="37" spans="1:9" x14ac:dyDescent="0.2">
      <c r="A37" s="51" t="s">
        <v>525</v>
      </c>
      <c r="B37" s="49"/>
      <c r="C37" s="60">
        <v>408.75</v>
      </c>
      <c r="D37" s="60">
        <f t="shared" si="0"/>
        <v>408.75</v>
      </c>
      <c r="E37" s="60">
        <f t="shared" si="0"/>
        <v>408.75</v>
      </c>
      <c r="F37" s="60">
        <f t="shared" si="0"/>
        <v>408.75</v>
      </c>
    </row>
    <row r="39" spans="1:9" x14ac:dyDescent="0.2">
      <c r="C39" s="60"/>
      <c r="D39" s="60"/>
      <c r="E39" s="60"/>
      <c r="F39" s="60"/>
    </row>
    <row r="40" spans="1:9" x14ac:dyDescent="0.2">
      <c r="A40" s="50" t="s">
        <v>168</v>
      </c>
      <c r="B40" s="50"/>
      <c r="C40" s="61">
        <f>SUM(C7:C39)</f>
        <v>61727.57</v>
      </c>
      <c r="D40" s="61">
        <f>SUM(D7:D39)</f>
        <v>61727.57</v>
      </c>
      <c r="E40" s="61">
        <f>SUM(E7:E39)</f>
        <v>61727.57</v>
      </c>
      <c r="F40" s="61">
        <f>SUM(F7:F39)</f>
        <v>61727.57</v>
      </c>
    </row>
    <row r="41" spans="1:9" x14ac:dyDescent="0.2">
      <c r="C41" s="60"/>
      <c r="D41" s="60"/>
      <c r="E41" s="60"/>
      <c r="F41" s="60"/>
    </row>
    <row r="42" spans="1:9" x14ac:dyDescent="0.2">
      <c r="A42" s="62"/>
      <c r="B42" s="62"/>
      <c r="C42" s="63"/>
      <c r="D42" s="63"/>
      <c r="E42" s="64"/>
      <c r="F42" s="64"/>
      <c r="G42" s="65"/>
      <c r="H42" s="62"/>
    </row>
    <row r="43" spans="1:9" x14ac:dyDescent="0.2">
      <c r="A43" s="50" t="s">
        <v>169</v>
      </c>
      <c r="B43" s="50"/>
      <c r="C43" s="60"/>
      <c r="D43" s="60"/>
      <c r="E43" s="61"/>
      <c r="F43" s="61"/>
    </row>
    <row r="44" spans="1:9" x14ac:dyDescent="0.2">
      <c r="A44" s="51" t="s">
        <v>526</v>
      </c>
      <c r="C44" s="60">
        <f>'Jan Zoom'!E31</f>
        <v>-26919.93</v>
      </c>
      <c r="D44" s="60">
        <f>C44</f>
        <v>-26919.93</v>
      </c>
      <c r="E44" s="60">
        <f>D44</f>
        <v>-26919.93</v>
      </c>
      <c r="F44" s="60">
        <f>E44</f>
        <v>-26919.93</v>
      </c>
      <c r="H44" s="51" t="s">
        <v>527</v>
      </c>
    </row>
    <row r="45" spans="1:9" x14ac:dyDescent="0.2">
      <c r="A45" s="51" t="s">
        <v>528</v>
      </c>
      <c r="C45" s="60">
        <f>'Jan Zoom'!F31</f>
        <v>-31094.899999999998</v>
      </c>
      <c r="D45" s="60">
        <f t="shared" ref="D45:F47" si="1">C45</f>
        <v>-31094.899999999998</v>
      </c>
      <c r="E45" s="60">
        <f t="shared" si="1"/>
        <v>-31094.899999999998</v>
      </c>
      <c r="F45" s="60">
        <f t="shared" si="1"/>
        <v>-31094.899999999998</v>
      </c>
      <c r="H45" s="51" t="s">
        <v>527</v>
      </c>
    </row>
    <row r="46" spans="1:9" x14ac:dyDescent="0.2">
      <c r="A46" s="51" t="s">
        <v>529</v>
      </c>
      <c r="C46" s="60">
        <f>'Jan Zoom'!G31</f>
        <v>-42685.530000000006</v>
      </c>
      <c r="D46" s="60">
        <f t="shared" si="1"/>
        <v>-42685.530000000006</v>
      </c>
      <c r="E46" s="60">
        <f t="shared" si="1"/>
        <v>-42685.530000000006</v>
      </c>
      <c r="F46" s="60">
        <f t="shared" si="1"/>
        <v>-42685.530000000006</v>
      </c>
      <c r="H46" s="51" t="s">
        <v>527</v>
      </c>
    </row>
    <row r="47" spans="1:9" x14ac:dyDescent="0.2">
      <c r="A47" s="51" t="s">
        <v>530</v>
      </c>
      <c r="C47" s="60">
        <f>'Jan Zoom'!H31</f>
        <v>-78755.990000000005</v>
      </c>
      <c r="D47" s="60">
        <f t="shared" si="1"/>
        <v>-78755.990000000005</v>
      </c>
      <c r="E47" s="60">
        <f t="shared" si="1"/>
        <v>-78755.990000000005</v>
      </c>
      <c r="F47" s="60">
        <f t="shared" si="1"/>
        <v>-78755.990000000005</v>
      </c>
      <c r="H47" s="51" t="s">
        <v>527</v>
      </c>
    </row>
    <row r="48" spans="1:9" x14ac:dyDescent="0.2">
      <c r="C48" s="60"/>
      <c r="D48" s="60"/>
      <c r="E48" s="60"/>
      <c r="F48" s="60"/>
    </row>
    <row r="49" spans="1:9" x14ac:dyDescent="0.2">
      <c r="A49" s="50" t="s">
        <v>183</v>
      </c>
      <c r="B49" s="50"/>
      <c r="C49" s="61">
        <f>SUM(C44:C48)</f>
        <v>-179456.35000000003</v>
      </c>
      <c r="D49" s="61">
        <f>SUM(D44:D48)</f>
        <v>-179456.35000000003</v>
      </c>
      <c r="E49" s="61">
        <f>SUM(E44:E48)</f>
        <v>-179456.35000000003</v>
      </c>
      <c r="F49" s="61">
        <f>SUM(F44:F48)</f>
        <v>-179456.35000000003</v>
      </c>
    </row>
    <row r="50" spans="1:9" x14ac:dyDescent="0.2">
      <c r="A50" s="50"/>
      <c r="B50" s="50"/>
      <c r="C50" s="61"/>
      <c r="D50" s="61"/>
      <c r="E50" s="61"/>
      <c r="F50" s="61"/>
    </row>
    <row r="51" spans="1:9" x14ac:dyDescent="0.2">
      <c r="A51" s="66" t="s">
        <v>184</v>
      </c>
      <c r="B51" s="66"/>
      <c r="C51" s="67">
        <f>C40+C49</f>
        <v>-117728.78000000003</v>
      </c>
      <c r="D51" s="67">
        <f>D40+D49</f>
        <v>-117728.78000000003</v>
      </c>
      <c r="E51" s="67">
        <f>E40+E49</f>
        <v>-117728.78000000003</v>
      </c>
      <c r="F51" s="67">
        <f>F40+F49</f>
        <v>-117728.78000000003</v>
      </c>
    </row>
    <row r="53" spans="1:9" x14ac:dyDescent="0.2">
      <c r="A53" s="68" t="s">
        <v>531</v>
      </c>
      <c r="B53" s="68"/>
      <c r="C53" s="69">
        <f>C4+C40+C49</f>
        <v>121117.20000000001</v>
      </c>
      <c r="D53" s="69">
        <f>D4+D40+D49</f>
        <v>121117.20000000001</v>
      </c>
      <c r="E53" s="69">
        <f>E4+E40+E49</f>
        <v>121117.17000000004</v>
      </c>
      <c r="F53" s="69">
        <f>F4+F40+F49</f>
        <v>121117.42000000004</v>
      </c>
      <c r="I53" s="70"/>
    </row>
    <row r="54" spans="1:9" x14ac:dyDescent="0.2">
      <c r="F54" s="53">
        <v>121117.32</v>
      </c>
    </row>
    <row r="55" spans="1:9" s="53" customFormat="1" ht="13.5" thickBot="1" x14ac:dyDescent="0.25">
      <c r="A55" s="51"/>
      <c r="B55" s="51"/>
      <c r="F55" s="105"/>
      <c r="G55" s="54"/>
      <c r="H55" s="51"/>
      <c r="I55" s="51"/>
    </row>
    <row r="56" spans="1:9" s="53" customFormat="1" ht="13.5" thickBot="1" x14ac:dyDescent="0.25">
      <c r="A56" s="71" t="s">
        <v>186</v>
      </c>
      <c r="B56" s="71"/>
      <c r="C56" s="71"/>
      <c r="G56" s="54"/>
      <c r="H56" s="51"/>
      <c r="I56" s="51"/>
    </row>
    <row r="57" spans="1:9" s="53" customFormat="1" x14ac:dyDescent="0.2">
      <c r="A57" s="51" t="s">
        <v>187</v>
      </c>
      <c r="B57" s="51"/>
      <c r="G57" s="54"/>
      <c r="H57" s="51"/>
      <c r="I57" s="51"/>
    </row>
    <row r="58" spans="1:9" s="53" customFormat="1" x14ac:dyDescent="0.2">
      <c r="A58" s="51" t="s">
        <v>188</v>
      </c>
      <c r="B58" s="51"/>
      <c r="G58" s="54"/>
      <c r="H58" s="51"/>
      <c r="I58" s="51"/>
    </row>
    <row r="59" spans="1:9" s="53" customFormat="1" x14ac:dyDescent="0.2">
      <c r="A59" s="51" t="s">
        <v>189</v>
      </c>
      <c r="B59" s="51"/>
      <c r="G59" s="54"/>
      <c r="H59" s="51"/>
      <c r="I59" s="51"/>
    </row>
    <row r="60" spans="1:9" s="53" customFormat="1" x14ac:dyDescent="0.2">
      <c r="A60" s="51" t="s">
        <v>190</v>
      </c>
      <c r="B60" s="51"/>
      <c r="G60" s="54"/>
      <c r="H60" s="51"/>
      <c r="I60" s="51"/>
    </row>
    <row r="61" spans="1:9" s="53" customFormat="1" x14ac:dyDescent="0.2">
      <c r="A61" s="72" t="s">
        <v>191</v>
      </c>
      <c r="B61" s="51"/>
      <c r="G61" s="54"/>
      <c r="H61" s="51"/>
      <c r="I61" s="51"/>
    </row>
    <row r="62" spans="1:9" s="53" customFormat="1" x14ac:dyDescent="0.2">
      <c r="A62" s="73" t="s">
        <v>192</v>
      </c>
      <c r="B62" s="51"/>
      <c r="G62" s="54"/>
      <c r="H62" s="51"/>
      <c r="I62" s="51"/>
    </row>
    <row r="63" spans="1:9" s="53" customFormat="1" x14ac:dyDescent="0.2">
      <c r="A63" s="74" t="s">
        <v>193</v>
      </c>
      <c r="B63" s="51"/>
      <c r="G63" s="54"/>
      <c r="H63" s="51"/>
      <c r="I63" s="51"/>
    </row>
    <row r="64" spans="1:9" s="53" customFormat="1" x14ac:dyDescent="0.2">
      <c r="A64" s="51"/>
      <c r="B64" s="50"/>
      <c r="C64" s="50"/>
      <c r="G64" s="54"/>
      <c r="H64" s="51"/>
      <c r="I64" s="51"/>
    </row>
  </sheetData>
  <pageMargins left="0.7" right="0.7" top="0.75" bottom="0.75" header="0.3" footer="0.3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3">
    <tabColor theme="1" tint="0.249977111117893"/>
    <pageSetUpPr fitToPage="1"/>
  </sheetPr>
  <dimension ref="A1:P73"/>
  <sheetViews>
    <sheetView zoomScale="80" zoomScaleNormal="80" workbookViewId="0">
      <selection activeCell="F53" sqref="F53:F54"/>
    </sheetView>
  </sheetViews>
  <sheetFormatPr defaultRowHeight="15" x14ac:dyDescent="0.25"/>
  <cols>
    <col min="1" max="1" width="35.7109375" bestFit="1" customWidth="1"/>
    <col min="2" max="2" width="1" customWidth="1"/>
    <col min="3" max="3" width="8.7109375" customWidth="1"/>
    <col min="4" max="4" width="1" customWidth="1"/>
    <col min="5" max="6" width="8.7109375" customWidth="1"/>
    <col min="7" max="7" width="9.5703125" bestFit="1" customWidth="1"/>
    <col min="8" max="8" width="8.7109375" customWidth="1"/>
    <col min="9" max="9" width="67.140625" bestFit="1" customWidth="1"/>
    <col min="10" max="10" width="24.28515625" bestFit="1" customWidth="1"/>
    <col min="11" max="11" width="1" customWidth="1"/>
    <col min="16" max="16" width="28.7109375" bestFit="1" customWidth="1"/>
  </cols>
  <sheetData>
    <row r="1" spans="1:16" x14ac:dyDescent="0.25">
      <c r="A1" s="1" t="s">
        <v>0</v>
      </c>
    </row>
    <row r="2" spans="1:16" x14ac:dyDescent="0.25">
      <c r="A2" t="s">
        <v>243</v>
      </c>
    </row>
    <row r="4" spans="1:16" s="3" customFormat="1" x14ac:dyDescent="0.25">
      <c r="A4" s="85" t="s">
        <v>244</v>
      </c>
      <c r="C4" s="5"/>
      <c r="E4" s="5">
        <v>49</v>
      </c>
      <c r="F4" s="5">
        <v>50</v>
      </c>
      <c r="G4" s="5">
        <v>51</v>
      </c>
      <c r="H4" s="5">
        <v>52</v>
      </c>
      <c r="J4" s="85" t="s">
        <v>244</v>
      </c>
      <c r="L4" s="5">
        <v>49</v>
      </c>
      <c r="M4" s="5">
        <v>50</v>
      </c>
      <c r="N4" s="5">
        <v>51</v>
      </c>
      <c r="O4" s="5">
        <v>52</v>
      </c>
    </row>
    <row r="5" spans="1:16" s="3" customFormat="1" ht="6.95" customHeight="1" x14ac:dyDescent="0.25"/>
    <row r="6" spans="1:16" x14ac:dyDescent="0.25">
      <c r="A6" s="1" t="s">
        <v>250</v>
      </c>
      <c r="C6" s="78"/>
      <c r="E6" s="86">
        <v>113106.19</v>
      </c>
      <c r="F6" s="86">
        <f>E34</f>
        <v>105274.39</v>
      </c>
      <c r="G6" s="86">
        <f>F34</f>
        <v>112918.38</v>
      </c>
      <c r="H6" s="86">
        <f>G34</f>
        <v>219671.26</v>
      </c>
      <c r="J6" s="1" t="s">
        <v>251</v>
      </c>
    </row>
    <row r="7" spans="1:16" x14ac:dyDescent="0.25">
      <c r="C7" s="78"/>
      <c r="E7" s="78"/>
      <c r="F7" s="78"/>
      <c r="G7" s="78"/>
      <c r="H7" s="78"/>
      <c r="J7" t="s">
        <v>275</v>
      </c>
      <c r="L7" s="78">
        <v>-6675.98</v>
      </c>
      <c r="M7" s="78"/>
      <c r="N7" s="78">
        <v>-4275.63</v>
      </c>
      <c r="P7" t="s">
        <v>532</v>
      </c>
    </row>
    <row r="8" spans="1:16" x14ac:dyDescent="0.25">
      <c r="A8" s="1" t="s">
        <v>252</v>
      </c>
      <c r="C8" s="78"/>
      <c r="E8" s="78"/>
      <c r="F8" s="78"/>
      <c r="G8" s="78"/>
      <c r="H8" s="78"/>
      <c r="J8" t="s">
        <v>261</v>
      </c>
      <c r="M8" s="78"/>
      <c r="N8" s="78">
        <v>-245</v>
      </c>
    </row>
    <row r="9" spans="1:16" x14ac:dyDescent="0.25">
      <c r="A9" t="s">
        <v>438</v>
      </c>
      <c r="C9" s="78">
        <v>18000</v>
      </c>
      <c r="E9" s="78"/>
      <c r="F9" s="78"/>
      <c r="G9" s="78"/>
      <c r="H9" s="78">
        <f>C9</f>
        <v>18000</v>
      </c>
      <c r="I9" t="s">
        <v>533</v>
      </c>
      <c r="J9" t="s">
        <v>480</v>
      </c>
      <c r="M9" s="78"/>
      <c r="N9" s="78"/>
      <c r="O9" s="78"/>
      <c r="P9" t="s">
        <v>534</v>
      </c>
    </row>
    <row r="10" spans="1:16" x14ac:dyDescent="0.25">
      <c r="A10" t="s">
        <v>439</v>
      </c>
      <c r="C10" s="78">
        <v>75000</v>
      </c>
      <c r="E10" s="78"/>
      <c r="F10" s="78"/>
      <c r="G10" s="78">
        <f>C10</f>
        <v>75000</v>
      </c>
      <c r="H10" s="78"/>
      <c r="J10" t="s">
        <v>280</v>
      </c>
      <c r="L10" s="78"/>
      <c r="M10" s="78"/>
      <c r="N10" s="78">
        <v>-8000</v>
      </c>
      <c r="O10" s="78"/>
    </row>
    <row r="11" spans="1:16" x14ac:dyDescent="0.25">
      <c r="A11" t="s">
        <v>441</v>
      </c>
      <c r="C11" s="78">
        <v>7170.57</v>
      </c>
      <c r="E11" s="78"/>
      <c r="F11" s="78"/>
      <c r="G11" s="78">
        <f>C11</f>
        <v>7170.57</v>
      </c>
      <c r="H11" s="78"/>
      <c r="I11" t="s">
        <v>535</v>
      </c>
      <c r="J11" t="s">
        <v>536</v>
      </c>
      <c r="L11" s="78">
        <v>-6142</v>
      </c>
      <c r="P11" t="s">
        <v>537</v>
      </c>
    </row>
    <row r="12" spans="1:16" x14ac:dyDescent="0.25">
      <c r="A12" t="s">
        <v>442</v>
      </c>
      <c r="C12" s="78">
        <v>125000</v>
      </c>
      <c r="E12" s="78"/>
      <c r="F12" s="78"/>
      <c r="G12" s="78">
        <f>C12</f>
        <v>125000</v>
      </c>
      <c r="H12" s="78"/>
      <c r="J12" t="s">
        <v>366</v>
      </c>
      <c r="M12" s="78"/>
      <c r="N12" s="78">
        <v>-2500</v>
      </c>
    </row>
    <row r="13" spans="1:16" x14ac:dyDescent="0.25">
      <c r="A13" t="s">
        <v>443</v>
      </c>
      <c r="C13" s="78">
        <v>30000</v>
      </c>
      <c r="E13" s="78"/>
      <c r="F13" s="78"/>
      <c r="G13" s="78"/>
      <c r="H13" s="78"/>
      <c r="J13" t="s">
        <v>360</v>
      </c>
      <c r="M13" s="78"/>
      <c r="N13" s="78">
        <v>-2394</v>
      </c>
      <c r="O13" s="78"/>
      <c r="P13" t="s">
        <v>538</v>
      </c>
    </row>
    <row r="14" spans="1:16" x14ac:dyDescent="0.25">
      <c r="A14" t="s">
        <v>445</v>
      </c>
      <c r="C14" s="78">
        <v>33471.75</v>
      </c>
      <c r="F14" s="78"/>
      <c r="G14" s="78">
        <f>C14</f>
        <v>33471.75</v>
      </c>
      <c r="H14" s="78"/>
      <c r="J14" t="s">
        <v>296</v>
      </c>
      <c r="L14" s="78"/>
      <c r="M14" s="78"/>
      <c r="N14" s="78">
        <v>-2012</v>
      </c>
      <c r="O14" s="78"/>
      <c r="P14" t="s">
        <v>284</v>
      </c>
    </row>
    <row r="15" spans="1:16" x14ac:dyDescent="0.25">
      <c r="A15" t="s">
        <v>364</v>
      </c>
      <c r="C15" s="78">
        <v>10000</v>
      </c>
      <c r="E15" s="78"/>
      <c r="F15" s="78"/>
      <c r="G15" s="78"/>
      <c r="H15" s="78"/>
      <c r="J15" t="s">
        <v>283</v>
      </c>
      <c r="L15" s="78"/>
      <c r="M15" s="78"/>
      <c r="N15" s="78"/>
      <c r="O15" s="78">
        <v>-1554</v>
      </c>
      <c r="P15" t="s">
        <v>284</v>
      </c>
    </row>
    <row r="16" spans="1:16" x14ac:dyDescent="0.25">
      <c r="A16" t="s">
        <v>321</v>
      </c>
      <c r="C16" s="78">
        <v>12500</v>
      </c>
      <c r="E16" s="78"/>
      <c r="F16" s="78">
        <v>6250</v>
      </c>
      <c r="G16" s="78"/>
      <c r="H16" s="78"/>
      <c r="J16" t="s">
        <v>285</v>
      </c>
      <c r="L16" s="78"/>
      <c r="M16" s="78"/>
      <c r="N16" s="78">
        <v>-1250</v>
      </c>
      <c r="O16" s="78"/>
      <c r="P16" t="s">
        <v>284</v>
      </c>
    </row>
    <row r="17" spans="1:16" x14ac:dyDescent="0.25">
      <c r="A17" t="s">
        <v>446</v>
      </c>
      <c r="C17" s="78">
        <v>5000</v>
      </c>
      <c r="E17" s="78">
        <f>C17</f>
        <v>5000</v>
      </c>
      <c r="F17" s="78"/>
      <c r="G17" s="78"/>
      <c r="H17" s="78"/>
      <c r="J17" t="s">
        <v>416</v>
      </c>
      <c r="L17" s="78"/>
      <c r="M17" s="78"/>
      <c r="N17" s="78"/>
      <c r="O17" s="78">
        <v>-366</v>
      </c>
      <c r="P17" t="s">
        <v>539</v>
      </c>
    </row>
    <row r="18" spans="1:16" x14ac:dyDescent="0.25">
      <c r="A18" t="s">
        <v>449</v>
      </c>
      <c r="C18" s="78">
        <v>5500</v>
      </c>
      <c r="I18" t="s">
        <v>540</v>
      </c>
      <c r="J18" t="s">
        <v>486</v>
      </c>
      <c r="L18" s="78"/>
      <c r="M18" s="78"/>
      <c r="N18" s="78"/>
      <c r="O18" s="78">
        <v>-7200</v>
      </c>
      <c r="P18" s="91" t="s">
        <v>541</v>
      </c>
    </row>
    <row r="19" spans="1:16" x14ac:dyDescent="0.25">
      <c r="A19" t="s">
        <v>450</v>
      </c>
      <c r="C19" s="78">
        <v>7500</v>
      </c>
      <c r="I19" t="s">
        <v>533</v>
      </c>
      <c r="J19" t="s">
        <v>272</v>
      </c>
      <c r="M19" s="78"/>
      <c r="N19" s="78">
        <v>-840</v>
      </c>
      <c r="O19" s="78">
        <v>-3420</v>
      </c>
    </row>
    <row r="20" spans="1:16" x14ac:dyDescent="0.25">
      <c r="A20" t="s">
        <v>424</v>
      </c>
      <c r="C20" s="78"/>
      <c r="E20" s="78"/>
      <c r="F20" s="78"/>
      <c r="G20" s="78"/>
      <c r="H20" s="78"/>
      <c r="I20" t="s">
        <v>425</v>
      </c>
      <c r="J20" t="s">
        <v>263</v>
      </c>
      <c r="L20" s="78"/>
      <c r="M20" s="78"/>
      <c r="N20" s="78">
        <v>-2700</v>
      </c>
      <c r="O20" s="78"/>
    </row>
    <row r="21" spans="1:16" x14ac:dyDescent="0.25">
      <c r="A21" t="s">
        <v>420</v>
      </c>
      <c r="C21" s="78">
        <v>22000</v>
      </c>
      <c r="J21" t="s">
        <v>542</v>
      </c>
      <c r="M21" s="78"/>
      <c r="N21" s="78">
        <v>-500</v>
      </c>
      <c r="O21" s="78"/>
    </row>
    <row r="22" spans="1:16" x14ac:dyDescent="0.25">
      <c r="A22" t="s">
        <v>451</v>
      </c>
      <c r="C22" s="78">
        <v>7500</v>
      </c>
      <c r="E22" s="78"/>
      <c r="F22" s="78"/>
      <c r="G22" s="78"/>
      <c r="H22" s="78"/>
      <c r="I22" t="s">
        <v>543</v>
      </c>
      <c r="L22" s="78"/>
      <c r="M22" s="78"/>
      <c r="N22" s="78"/>
      <c r="O22" s="78"/>
    </row>
    <row r="23" spans="1:16" x14ac:dyDescent="0.25">
      <c r="A23" t="s">
        <v>289</v>
      </c>
      <c r="C23" s="78"/>
      <c r="E23" s="78">
        <f>151.18+243.75</f>
        <v>394.93</v>
      </c>
      <c r="F23" s="78">
        <f>93.75+1184.4+115.84</f>
        <v>1393.99</v>
      </c>
      <c r="G23" s="78">
        <v>45.32</v>
      </c>
      <c r="H23" s="78"/>
      <c r="L23" s="78"/>
      <c r="M23" s="78"/>
      <c r="N23" s="78"/>
      <c r="O23" s="78"/>
    </row>
    <row r="24" spans="1:16" x14ac:dyDescent="0.25">
      <c r="C24" s="87">
        <f>SUM(C9:C22)</f>
        <v>358642.32</v>
      </c>
      <c r="E24" s="78"/>
      <c r="F24" s="78"/>
      <c r="G24" s="78"/>
      <c r="H24" s="78"/>
      <c r="L24" s="86">
        <f>SUM(L7:L22)</f>
        <v>-12817.98</v>
      </c>
      <c r="M24" s="86">
        <f>SUM(M7:M22)</f>
        <v>0</v>
      </c>
      <c r="N24" s="86">
        <f>SUM(N7:N22)</f>
        <v>-24716.63</v>
      </c>
      <c r="O24" s="86">
        <f>SUM(O7:O22)</f>
        <v>-12540</v>
      </c>
    </row>
    <row r="25" spans="1:16" x14ac:dyDescent="0.25">
      <c r="A25" s="1" t="s">
        <v>290</v>
      </c>
      <c r="C25" s="78"/>
      <c r="E25" s="78"/>
      <c r="F25" s="78"/>
      <c r="G25" s="78"/>
      <c r="H25" s="78"/>
      <c r="L25" s="78"/>
      <c r="M25" s="78"/>
      <c r="N25" s="78"/>
      <c r="O25" s="78"/>
    </row>
    <row r="26" spans="1:16" x14ac:dyDescent="0.25">
      <c r="A26" t="s">
        <v>291</v>
      </c>
      <c r="C26" s="78"/>
      <c r="E26" s="78"/>
      <c r="F26" s="78"/>
      <c r="G26" s="78">
        <v>-73000</v>
      </c>
      <c r="H26" s="78"/>
      <c r="I26" t="s">
        <v>453</v>
      </c>
      <c r="J26" t="s">
        <v>293</v>
      </c>
      <c r="L26" s="78">
        <v>-408.75</v>
      </c>
      <c r="M26" s="78">
        <v>0</v>
      </c>
      <c r="N26" s="78">
        <v>-672.13000000000466</v>
      </c>
      <c r="O26" s="78">
        <v>-536.40000000000146</v>
      </c>
    </row>
    <row r="27" spans="1:16" x14ac:dyDescent="0.25">
      <c r="A27" t="s">
        <v>294</v>
      </c>
      <c r="C27" s="78"/>
      <c r="E27" s="78"/>
      <c r="F27" s="78"/>
      <c r="G27" s="78">
        <v>-35546</v>
      </c>
      <c r="H27" s="78"/>
      <c r="I27" t="s">
        <v>454</v>
      </c>
      <c r="L27" s="78"/>
      <c r="M27" s="78"/>
      <c r="N27" s="78"/>
      <c r="O27" s="78"/>
      <c r="P27" s="88">
        <f>SUM(L28:O28)</f>
        <v>-51691.890000000007</v>
      </c>
    </row>
    <row r="28" spans="1:16" x14ac:dyDescent="0.25">
      <c r="A28" t="s">
        <v>298</v>
      </c>
      <c r="C28" s="78"/>
      <c r="E28" s="78"/>
      <c r="F28" s="78"/>
      <c r="G28" s="78"/>
      <c r="H28" s="78">
        <v>-15120</v>
      </c>
      <c r="I28" t="s">
        <v>301</v>
      </c>
      <c r="J28" s="1" t="s">
        <v>297</v>
      </c>
      <c r="K28" s="1"/>
      <c r="L28" s="86">
        <f>L26+L24</f>
        <v>-13226.73</v>
      </c>
      <c r="M28" s="86">
        <f>M26+M24</f>
        <v>0</v>
      </c>
      <c r="N28" s="86">
        <f>N26+N24</f>
        <v>-25388.760000000006</v>
      </c>
      <c r="O28" s="86">
        <f>O26+O24</f>
        <v>-13076.400000000001</v>
      </c>
    </row>
    <row r="29" spans="1:16" x14ac:dyDescent="0.25">
      <c r="A29" t="s">
        <v>299</v>
      </c>
      <c r="C29" s="78"/>
      <c r="E29" s="78">
        <f>L28</f>
        <v>-13226.73</v>
      </c>
      <c r="F29" s="78">
        <f>M28</f>
        <v>0</v>
      </c>
      <c r="G29" s="78">
        <f>N28</f>
        <v>-25388.760000000006</v>
      </c>
      <c r="H29" s="78">
        <f>O28</f>
        <v>-13076.400000000001</v>
      </c>
      <c r="I29" s="88">
        <f>SUM(E29:H29)</f>
        <v>-51691.890000000007</v>
      </c>
      <c r="L29" s="78"/>
      <c r="M29" s="78"/>
      <c r="N29" s="78"/>
      <c r="O29" s="78"/>
    </row>
    <row r="30" spans="1:16" x14ac:dyDescent="0.25">
      <c r="A30" s="1" t="s">
        <v>300</v>
      </c>
      <c r="C30" s="78"/>
      <c r="E30" s="89">
        <f>SUM(E26:E29)</f>
        <v>-13226.73</v>
      </c>
      <c r="F30" s="89">
        <f>SUM(F26:F29)</f>
        <v>0</v>
      </c>
      <c r="G30" s="89">
        <f>SUM(G26:G29)</f>
        <v>-133934.76</v>
      </c>
      <c r="H30" s="89">
        <f>SUM(H26:H29)</f>
        <v>-28196.400000000001</v>
      </c>
      <c r="I30" s="88">
        <f>SUM(E30:H30)</f>
        <v>-175357.89</v>
      </c>
      <c r="L30" s="78"/>
      <c r="M30" s="78"/>
      <c r="N30" s="78"/>
      <c r="O30" s="78"/>
    </row>
    <row r="31" spans="1:16" x14ac:dyDescent="0.25">
      <c r="C31" s="78"/>
      <c r="E31" s="78"/>
      <c r="F31" s="78"/>
      <c r="G31" s="78"/>
      <c r="H31" s="78"/>
      <c r="L31" s="78"/>
      <c r="M31" s="78"/>
      <c r="N31" s="78"/>
      <c r="O31" s="78"/>
    </row>
    <row r="32" spans="1:16" x14ac:dyDescent="0.25">
      <c r="A32" s="1" t="s">
        <v>303</v>
      </c>
      <c r="C32" s="78"/>
      <c r="E32" s="78">
        <f>SUM(E8:E24)+E30</f>
        <v>-7831.7999999999993</v>
      </c>
      <c r="F32" s="78">
        <f>SUM(F8:F24)+F30</f>
        <v>7643.99</v>
      </c>
      <c r="G32" s="78">
        <f>SUM(G8:G24)+G30</f>
        <v>106752.88</v>
      </c>
      <c r="H32" s="78">
        <f>SUM(H8:H24)+H30</f>
        <v>-10196.400000000001</v>
      </c>
      <c r="L32" s="78"/>
      <c r="M32" s="78"/>
      <c r="N32" s="78"/>
      <c r="O32" s="78"/>
    </row>
    <row r="33" spans="1:15" x14ac:dyDescent="0.25">
      <c r="C33" s="78"/>
      <c r="E33" s="78"/>
      <c r="F33" s="78"/>
      <c r="G33" s="78"/>
      <c r="H33" s="78"/>
      <c r="L33" s="78"/>
      <c r="M33" s="78"/>
      <c r="N33" s="78"/>
      <c r="O33" s="78"/>
    </row>
    <row r="34" spans="1:15" x14ac:dyDescent="0.25">
      <c r="A34" s="1" t="s">
        <v>304</v>
      </c>
      <c r="C34" s="78"/>
      <c r="E34" s="86">
        <f>E6+E32</f>
        <v>105274.39</v>
      </c>
      <c r="F34" s="86">
        <f>F6+F32</f>
        <v>112918.38</v>
      </c>
      <c r="G34" s="86">
        <f>G6+G32</f>
        <v>219671.26</v>
      </c>
      <c r="H34" s="86">
        <f>H6+H32</f>
        <v>209474.86000000002</v>
      </c>
      <c r="L34" s="78"/>
      <c r="M34" s="78"/>
      <c r="N34" s="78"/>
      <c r="O34" s="78"/>
    </row>
    <row r="35" spans="1:15" x14ac:dyDescent="0.25">
      <c r="C35" s="78"/>
      <c r="E35" s="78"/>
      <c r="F35" s="78"/>
      <c r="G35" s="78"/>
      <c r="H35" s="78"/>
      <c r="L35" s="78"/>
      <c r="M35" s="78"/>
      <c r="N35" s="78"/>
      <c r="O35" s="78"/>
    </row>
    <row r="36" spans="1:15" x14ac:dyDescent="0.25">
      <c r="C36" s="78"/>
      <c r="E36" s="78"/>
      <c r="F36" s="78"/>
      <c r="G36" s="78"/>
      <c r="H36" s="78"/>
      <c r="L36" s="78"/>
      <c r="M36" s="78"/>
      <c r="N36" s="78"/>
      <c r="O36" s="78"/>
    </row>
    <row r="37" spans="1:15" x14ac:dyDescent="0.25">
      <c r="C37" s="78"/>
      <c r="E37" s="78"/>
      <c r="F37" s="78"/>
      <c r="G37" s="78"/>
      <c r="H37" s="78"/>
      <c r="L37" s="78"/>
      <c r="M37" s="78"/>
      <c r="N37" s="78"/>
      <c r="O37" s="78"/>
    </row>
    <row r="38" spans="1:15" x14ac:dyDescent="0.25">
      <c r="A38" s="85" t="s">
        <v>244</v>
      </c>
      <c r="B38" s="3"/>
      <c r="C38" s="5"/>
      <c r="D38" s="3"/>
      <c r="E38" s="5">
        <v>49</v>
      </c>
      <c r="F38" s="5">
        <v>50</v>
      </c>
      <c r="G38" s="5">
        <v>51</v>
      </c>
      <c r="H38" s="5">
        <v>52</v>
      </c>
      <c r="I38" s="3"/>
      <c r="L38" s="78"/>
      <c r="M38" s="78"/>
      <c r="N38" s="78"/>
      <c r="O38" s="78"/>
    </row>
    <row r="39" spans="1:15" x14ac:dyDescent="0.25">
      <c r="A39" s="3"/>
      <c r="B39" s="3"/>
      <c r="C39" s="3"/>
      <c r="D39" s="3"/>
      <c r="E39" s="3"/>
      <c r="F39" s="3"/>
      <c r="G39" s="3"/>
      <c r="H39" s="3"/>
      <c r="I39" s="3"/>
      <c r="L39" s="78"/>
      <c r="M39" s="78"/>
      <c r="N39" s="78"/>
      <c r="O39" s="78"/>
    </row>
    <row r="40" spans="1:15" x14ac:dyDescent="0.25">
      <c r="A40" s="1" t="s">
        <v>250</v>
      </c>
      <c r="C40" s="78"/>
      <c r="E40" s="86">
        <v>113106.19</v>
      </c>
      <c r="F40" s="86">
        <f>E73</f>
        <v>105274.39</v>
      </c>
      <c r="G40" s="86">
        <f>F73</f>
        <v>112918.38</v>
      </c>
      <c r="H40" s="86">
        <f>G73</f>
        <v>219671.69</v>
      </c>
      <c r="L40" s="78"/>
      <c r="M40" s="78"/>
      <c r="N40" s="78"/>
      <c r="O40" s="78"/>
    </row>
    <row r="41" spans="1:15" x14ac:dyDescent="0.25">
      <c r="C41" s="78"/>
      <c r="E41" s="78"/>
      <c r="F41" s="78"/>
      <c r="G41" s="78"/>
      <c r="H41" s="78"/>
    </row>
    <row r="42" spans="1:15" x14ac:dyDescent="0.25">
      <c r="A42" s="1" t="s">
        <v>437</v>
      </c>
      <c r="C42" s="78"/>
      <c r="E42" s="78"/>
      <c r="F42" s="78"/>
      <c r="G42" s="78"/>
      <c r="H42" s="78"/>
    </row>
    <row r="43" spans="1:15" x14ac:dyDescent="0.25">
      <c r="A43" t="s">
        <v>438</v>
      </c>
      <c r="C43" s="78">
        <v>18000</v>
      </c>
      <c r="E43" s="78"/>
      <c r="F43" s="78"/>
      <c r="G43" s="78"/>
      <c r="H43" s="78">
        <f>C43</f>
        <v>18000</v>
      </c>
      <c r="I43" t="str">
        <f>I9</f>
        <v xml:space="preserve">  Invoice due date 31st Dec</v>
      </c>
    </row>
    <row r="44" spans="1:15" x14ac:dyDescent="0.25">
      <c r="A44" t="s">
        <v>439</v>
      </c>
      <c r="C44" s="78">
        <v>75000</v>
      </c>
      <c r="E44" s="78"/>
      <c r="F44" s="78"/>
      <c r="G44" s="78">
        <f>C44</f>
        <v>75000</v>
      </c>
      <c r="H44" s="78"/>
    </row>
    <row r="45" spans="1:15" x14ac:dyDescent="0.25">
      <c r="A45" s="84" t="s">
        <v>349</v>
      </c>
      <c r="B45" s="84"/>
      <c r="C45" s="90">
        <v>25000</v>
      </c>
      <c r="E45" s="78"/>
      <c r="F45" s="78"/>
      <c r="G45" s="78"/>
      <c r="H45" s="78"/>
      <c r="I45" t="s">
        <v>440</v>
      </c>
    </row>
    <row r="46" spans="1:15" x14ac:dyDescent="0.25">
      <c r="A46" s="84" t="s">
        <v>224</v>
      </c>
      <c r="B46" s="84"/>
      <c r="C46" s="90">
        <v>20000</v>
      </c>
      <c r="E46" s="78"/>
      <c r="F46" s="78"/>
      <c r="G46" s="78"/>
      <c r="H46" s="78"/>
      <c r="I46" t="s">
        <v>440</v>
      </c>
    </row>
    <row r="47" spans="1:15" x14ac:dyDescent="0.25">
      <c r="A47" t="s">
        <v>441</v>
      </c>
      <c r="C47" s="78">
        <v>7171</v>
      </c>
      <c r="E47" s="78"/>
      <c r="F47" s="78"/>
      <c r="G47" s="78">
        <f>C47</f>
        <v>7171</v>
      </c>
      <c r="H47" s="78"/>
    </row>
    <row r="48" spans="1:15" x14ac:dyDescent="0.25">
      <c r="A48" t="s">
        <v>442</v>
      </c>
      <c r="C48" s="78">
        <v>125000</v>
      </c>
      <c r="E48" s="78"/>
      <c r="F48" s="78"/>
      <c r="G48" s="78">
        <f>C48</f>
        <v>125000</v>
      </c>
      <c r="H48" s="78"/>
    </row>
    <row r="49" spans="1:9" x14ac:dyDescent="0.25">
      <c r="A49" t="s">
        <v>443</v>
      </c>
      <c r="C49" s="78">
        <v>30000</v>
      </c>
      <c r="E49" s="78"/>
      <c r="F49" s="78"/>
      <c r="G49" s="78"/>
      <c r="H49" s="78"/>
    </row>
    <row r="50" spans="1:9" x14ac:dyDescent="0.25">
      <c r="A50" s="84" t="s">
        <v>444</v>
      </c>
      <c r="B50" s="84"/>
      <c r="C50" s="90">
        <v>5000</v>
      </c>
      <c r="E50" s="78"/>
      <c r="F50" s="78"/>
      <c r="G50" s="78"/>
      <c r="H50" s="78"/>
      <c r="I50" t="s">
        <v>440</v>
      </c>
    </row>
    <row r="51" spans="1:9" x14ac:dyDescent="0.25">
      <c r="A51" t="s">
        <v>445</v>
      </c>
      <c r="C51" s="78">
        <v>33471.75</v>
      </c>
      <c r="F51" s="78"/>
      <c r="G51" s="78">
        <f>C51</f>
        <v>33471.75</v>
      </c>
      <c r="H51" s="78"/>
    </row>
    <row r="52" spans="1:9" x14ac:dyDescent="0.25">
      <c r="A52" t="s">
        <v>364</v>
      </c>
      <c r="C52" s="78">
        <v>10000</v>
      </c>
      <c r="E52" s="78"/>
      <c r="F52" s="78"/>
      <c r="G52" s="78"/>
      <c r="H52" s="78"/>
    </row>
    <row r="53" spans="1:9" x14ac:dyDescent="0.25">
      <c r="A53" t="s">
        <v>321</v>
      </c>
      <c r="C53" s="78">
        <v>12500</v>
      </c>
      <c r="E53" s="78"/>
      <c r="F53" s="78">
        <v>6250</v>
      </c>
      <c r="G53" s="78"/>
      <c r="H53" s="78"/>
    </row>
    <row r="54" spans="1:9" x14ac:dyDescent="0.25">
      <c r="A54" t="s">
        <v>446</v>
      </c>
      <c r="C54" s="78">
        <v>5000</v>
      </c>
      <c r="E54" s="78">
        <f>C54</f>
        <v>5000</v>
      </c>
      <c r="F54" s="78"/>
      <c r="G54" s="78"/>
      <c r="H54" s="78"/>
    </row>
    <row r="55" spans="1:9" x14ac:dyDescent="0.25">
      <c r="A55" s="84" t="s">
        <v>447</v>
      </c>
      <c r="B55" s="84"/>
      <c r="C55" s="90">
        <v>30000</v>
      </c>
      <c r="E55" s="78"/>
      <c r="F55" s="78"/>
      <c r="G55" s="78"/>
      <c r="H55" s="78"/>
      <c r="I55" t="s">
        <v>440</v>
      </c>
    </row>
    <row r="56" spans="1:9" x14ac:dyDescent="0.25">
      <c r="A56" s="84" t="s">
        <v>448</v>
      </c>
      <c r="B56" s="84"/>
      <c r="C56" s="90">
        <v>25000</v>
      </c>
      <c r="E56" s="78"/>
      <c r="F56" s="78"/>
      <c r="G56" s="78"/>
      <c r="H56" s="78"/>
      <c r="I56" t="s">
        <v>440</v>
      </c>
    </row>
    <row r="57" spans="1:9" x14ac:dyDescent="0.25">
      <c r="A57" t="s">
        <v>449</v>
      </c>
      <c r="C57" s="78">
        <v>5500</v>
      </c>
      <c r="I57" t="str">
        <f>I18</f>
        <v xml:space="preserve">  Invoice due date 29th Nov</v>
      </c>
    </row>
    <row r="58" spans="1:9" x14ac:dyDescent="0.25">
      <c r="A58" t="s">
        <v>450</v>
      </c>
      <c r="C58" s="78">
        <v>7500</v>
      </c>
      <c r="I58" t="str">
        <f>I19</f>
        <v xml:space="preserve">  Invoice due date 31st Dec</v>
      </c>
    </row>
    <row r="59" spans="1:9" x14ac:dyDescent="0.25">
      <c r="A59" t="s">
        <v>424</v>
      </c>
      <c r="C59" s="78">
        <v>25000</v>
      </c>
      <c r="E59" s="78"/>
      <c r="F59" s="78"/>
      <c r="G59" s="78"/>
      <c r="H59" s="78"/>
    </row>
    <row r="60" spans="1:9" x14ac:dyDescent="0.25">
      <c r="A60" t="s">
        <v>420</v>
      </c>
      <c r="C60" s="78">
        <v>22000</v>
      </c>
    </row>
    <row r="61" spans="1:9" x14ac:dyDescent="0.25">
      <c r="A61" t="s">
        <v>451</v>
      </c>
      <c r="C61" s="78">
        <v>7500</v>
      </c>
      <c r="E61" s="78"/>
      <c r="F61" s="78"/>
      <c r="G61" s="78"/>
      <c r="H61" s="78"/>
      <c r="I61" t="s">
        <v>452</v>
      </c>
    </row>
    <row r="62" spans="1:9" x14ac:dyDescent="0.25">
      <c r="A62" t="s">
        <v>299</v>
      </c>
      <c r="C62" s="78"/>
      <c r="E62" s="78">
        <f>E23</f>
        <v>394.93</v>
      </c>
      <c r="F62" s="78">
        <f>F23</f>
        <v>1393.99</v>
      </c>
      <c r="G62" s="78">
        <f>G23</f>
        <v>45.32</v>
      </c>
      <c r="H62" s="78"/>
    </row>
    <row r="63" spans="1:9" x14ac:dyDescent="0.25">
      <c r="C63" s="87">
        <f>SUM(C43:C61)</f>
        <v>488642.75</v>
      </c>
      <c r="E63" s="78"/>
      <c r="F63" s="78"/>
      <c r="G63" s="78"/>
      <c r="H63" s="78"/>
    </row>
    <row r="64" spans="1:9" x14ac:dyDescent="0.25">
      <c r="A64" s="1" t="s">
        <v>290</v>
      </c>
      <c r="C64" s="78"/>
      <c r="E64" s="78"/>
      <c r="F64" s="78"/>
      <c r="G64" s="78"/>
      <c r="H64" s="78"/>
    </row>
    <row r="65" spans="1:9" x14ac:dyDescent="0.25">
      <c r="A65" t="s">
        <v>291</v>
      </c>
      <c r="C65" s="78"/>
      <c r="E65" s="78"/>
      <c r="F65" s="78"/>
      <c r="G65" s="78">
        <v>-73000</v>
      </c>
      <c r="H65" s="78"/>
      <c r="I65" t="s">
        <v>453</v>
      </c>
    </row>
    <row r="66" spans="1:9" x14ac:dyDescent="0.25">
      <c r="A66" t="s">
        <v>294</v>
      </c>
      <c r="C66" s="78"/>
      <c r="E66" s="78"/>
      <c r="F66" s="78"/>
      <c r="G66" s="78">
        <v>-35546</v>
      </c>
      <c r="H66" s="78"/>
      <c r="I66" t="s">
        <v>454</v>
      </c>
    </row>
    <row r="67" spans="1:9" x14ac:dyDescent="0.25">
      <c r="A67" t="s">
        <v>298</v>
      </c>
      <c r="C67" s="78"/>
      <c r="E67" s="78"/>
      <c r="F67" s="78"/>
      <c r="G67" s="78"/>
      <c r="H67" s="78">
        <v>-15120</v>
      </c>
      <c r="I67" t="s">
        <v>301</v>
      </c>
    </row>
    <row r="68" spans="1:9" x14ac:dyDescent="0.25">
      <c r="A68" t="s">
        <v>299</v>
      </c>
      <c r="C68" s="78"/>
      <c r="E68" s="78">
        <f>L67</f>
        <v>0</v>
      </c>
      <c r="F68" s="78">
        <f>M67</f>
        <v>0</v>
      </c>
      <c r="G68" s="78">
        <f>N67</f>
        <v>0</v>
      </c>
      <c r="H68" s="78">
        <f>O67</f>
        <v>0</v>
      </c>
      <c r="I68" s="88">
        <f>SUM(E68:H68)</f>
        <v>0</v>
      </c>
    </row>
    <row r="69" spans="1:9" x14ac:dyDescent="0.25">
      <c r="A69" s="1" t="s">
        <v>300</v>
      </c>
      <c r="C69" s="78"/>
      <c r="E69" s="89">
        <f>E30</f>
        <v>-13226.73</v>
      </c>
      <c r="F69" s="89">
        <f>F30</f>
        <v>0</v>
      </c>
      <c r="G69" s="89">
        <f>G30</f>
        <v>-133934.76</v>
      </c>
      <c r="H69" s="89">
        <f>H30</f>
        <v>-28196.400000000001</v>
      </c>
      <c r="I69" s="88">
        <f>SUM(E69:H69)</f>
        <v>-175357.89</v>
      </c>
    </row>
    <row r="70" spans="1:9" x14ac:dyDescent="0.25">
      <c r="C70" s="78"/>
      <c r="E70" s="78"/>
      <c r="F70" s="78"/>
      <c r="G70" s="78"/>
      <c r="H70" s="78"/>
    </row>
    <row r="71" spans="1:9" x14ac:dyDescent="0.25">
      <c r="A71" s="1" t="s">
        <v>303</v>
      </c>
      <c r="C71" s="78"/>
      <c r="E71" s="78">
        <f>SUM(E42:E63)+E69</f>
        <v>-7831.7999999999993</v>
      </c>
      <c r="F71" s="78">
        <f>SUM(F42:F63)+F69</f>
        <v>7643.99</v>
      </c>
      <c r="G71" s="78">
        <f>SUM(G42:G63)+G69</f>
        <v>106753.31</v>
      </c>
      <c r="H71" s="78">
        <f>SUM(H42:H63)+H69</f>
        <v>-10196.400000000001</v>
      </c>
    </row>
    <row r="72" spans="1:9" x14ac:dyDescent="0.25">
      <c r="C72" s="78"/>
      <c r="E72" s="78"/>
      <c r="F72" s="78"/>
      <c r="G72" s="78"/>
      <c r="H72" s="78"/>
    </row>
    <row r="73" spans="1:9" x14ac:dyDescent="0.25">
      <c r="A73" s="1" t="s">
        <v>304</v>
      </c>
      <c r="C73" s="78"/>
      <c r="E73" s="86">
        <f>E40+E71</f>
        <v>105274.39</v>
      </c>
      <c r="F73" s="86">
        <f>F40+F71</f>
        <v>112918.38</v>
      </c>
      <c r="G73" s="86">
        <f>G40+G71</f>
        <v>219671.69</v>
      </c>
      <c r="H73" s="86">
        <f>H40+H71</f>
        <v>209475.29</v>
      </c>
    </row>
  </sheetData>
  <pageMargins left="0.25" right="0.25" top="0.75" bottom="0.75" header="0.3" footer="0.3"/>
  <pageSetup paperSize="9" scale="4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tabColor theme="1" tint="0.249977111117893"/>
    <pageSetUpPr fitToPage="1"/>
  </sheetPr>
  <dimension ref="A1:I62"/>
  <sheetViews>
    <sheetView topLeftCell="A17" zoomScale="80" zoomScaleNormal="80" workbookViewId="0">
      <selection activeCell="F53" sqref="F53:F54"/>
    </sheetView>
  </sheetViews>
  <sheetFormatPr defaultRowHeight="15" x14ac:dyDescent="0.25"/>
  <cols>
    <col min="1" max="1" width="44" customWidth="1"/>
    <col min="2" max="2" width="12" customWidth="1"/>
    <col min="3" max="3" width="11.85546875" style="2" customWidth="1"/>
    <col min="4" max="4" width="13.140625" style="2" customWidth="1"/>
    <col min="5" max="5" width="11.85546875" style="2" customWidth="1"/>
    <col min="6" max="6" width="12.28515625" style="2" bestFit="1" customWidth="1"/>
    <col min="7" max="7" width="9.140625" style="3"/>
    <col min="8" max="8" width="44.140625" bestFit="1" customWidth="1"/>
    <col min="9" max="9" width="47.28515625" bestFit="1" customWidth="1"/>
  </cols>
  <sheetData>
    <row r="1" spans="1:9" x14ac:dyDescent="0.25">
      <c r="A1" s="1" t="s">
        <v>142</v>
      </c>
      <c r="C1" s="4" t="s">
        <v>69</v>
      </c>
    </row>
    <row r="2" spans="1:9" x14ac:dyDescent="0.25">
      <c r="A2" s="37" t="s">
        <v>544</v>
      </c>
    </row>
    <row r="3" spans="1:9" x14ac:dyDescent="0.25">
      <c r="A3" s="37"/>
    </row>
    <row r="4" spans="1:9" x14ac:dyDescent="0.25">
      <c r="A4" s="38" t="s">
        <v>545</v>
      </c>
      <c r="B4" s="44" t="s">
        <v>145</v>
      </c>
      <c r="C4" s="39">
        <v>114772</v>
      </c>
      <c r="D4" s="39">
        <v>114772</v>
      </c>
      <c r="E4" s="39">
        <f>Nov!E47</f>
        <v>114771.97</v>
      </c>
      <c r="F4" s="39">
        <f>Nov!F47</f>
        <v>114771.97</v>
      </c>
    </row>
    <row r="6" spans="1:9" x14ac:dyDescent="0.25">
      <c r="A6" s="1" t="s">
        <v>146</v>
      </c>
      <c r="B6" s="1"/>
      <c r="C6" s="4" t="s">
        <v>108</v>
      </c>
      <c r="D6" s="4" t="s">
        <v>109</v>
      </c>
      <c r="E6" s="4" t="s">
        <v>147</v>
      </c>
      <c r="F6" s="4" t="s">
        <v>148</v>
      </c>
      <c r="G6" s="5" t="s">
        <v>149</v>
      </c>
      <c r="H6" s="1" t="s">
        <v>150</v>
      </c>
      <c r="I6" s="79"/>
    </row>
    <row r="7" spans="1:9" x14ac:dyDescent="0.25">
      <c r="C7" s="6"/>
      <c r="D7" s="6"/>
      <c r="E7" s="6"/>
      <c r="F7" s="6"/>
    </row>
    <row r="8" spans="1:9" x14ac:dyDescent="0.25">
      <c r="A8" s="1" t="s">
        <v>56</v>
      </c>
      <c r="B8" s="1"/>
    </row>
    <row r="9" spans="1:9" ht="15" customHeight="1" x14ac:dyDescent="0.25">
      <c r="A9" s="47" t="s">
        <v>546</v>
      </c>
      <c r="B9" t="s">
        <v>17</v>
      </c>
      <c r="C9" s="2">
        <v>18000</v>
      </c>
      <c r="D9" s="2">
        <f>C9</f>
        <v>18000</v>
      </c>
      <c r="E9" s="2">
        <v>18000</v>
      </c>
      <c r="F9" s="2">
        <v>18000</v>
      </c>
      <c r="G9" s="3" t="s">
        <v>547</v>
      </c>
      <c r="H9" s="83" t="s">
        <v>548</v>
      </c>
    </row>
    <row r="10" spans="1:9" ht="15" customHeight="1" x14ac:dyDescent="0.25">
      <c r="A10" s="40" t="s">
        <v>439</v>
      </c>
      <c r="B10" t="s">
        <v>18</v>
      </c>
      <c r="C10" s="2">
        <v>75000</v>
      </c>
      <c r="D10" s="2">
        <v>75000</v>
      </c>
      <c r="E10" s="2">
        <v>75000</v>
      </c>
      <c r="F10" s="2">
        <v>75000</v>
      </c>
      <c r="G10" s="3" t="s">
        <v>204</v>
      </c>
      <c r="H10" t="s">
        <v>549</v>
      </c>
    </row>
    <row r="12" spans="1:9" ht="15" customHeight="1" x14ac:dyDescent="0.25"/>
    <row r="13" spans="1:9" ht="15" customHeight="1" x14ac:dyDescent="0.25">
      <c r="A13" s="1" t="s">
        <v>57</v>
      </c>
      <c r="B13" s="1"/>
      <c r="C13" s="6"/>
      <c r="D13" s="6"/>
      <c r="E13" s="6"/>
      <c r="F13" s="6"/>
    </row>
    <row r="14" spans="1:9" ht="15" customHeight="1" x14ac:dyDescent="0.25">
      <c r="A14" s="40" t="s">
        <v>442</v>
      </c>
      <c r="B14" t="s">
        <v>156</v>
      </c>
      <c r="C14" s="6">
        <v>125000</v>
      </c>
      <c r="D14" s="6">
        <v>125000</v>
      </c>
      <c r="E14" s="6">
        <f>D14</f>
        <v>125000</v>
      </c>
      <c r="F14" s="6">
        <v>125000</v>
      </c>
      <c r="G14" s="3" t="s">
        <v>207</v>
      </c>
      <c r="H14" t="s">
        <v>550</v>
      </c>
    </row>
    <row r="16" spans="1:9" ht="15" customHeight="1" x14ac:dyDescent="0.25">
      <c r="C16" s="6"/>
      <c r="D16" s="6"/>
      <c r="E16" s="6"/>
      <c r="F16" s="6"/>
      <c r="I16" s="82"/>
    </row>
    <row r="17" spans="1:9" ht="15" customHeight="1" x14ac:dyDescent="0.25">
      <c r="A17" s="1" t="s">
        <v>58</v>
      </c>
      <c r="B17" s="1"/>
    </row>
    <row r="19" spans="1:9" ht="15" customHeight="1" x14ac:dyDescent="0.25">
      <c r="B19" s="33"/>
      <c r="C19" s="6"/>
      <c r="E19" s="6"/>
      <c r="F19" s="6"/>
    </row>
    <row r="20" spans="1:9" ht="15" customHeight="1" x14ac:dyDescent="0.25">
      <c r="A20" s="1" t="s">
        <v>157</v>
      </c>
      <c r="B20" s="1"/>
      <c r="C20" s="6"/>
      <c r="D20" s="6"/>
      <c r="E20" s="6"/>
      <c r="F20" s="6"/>
    </row>
    <row r="21" spans="1:9" ht="15" customHeight="1" x14ac:dyDescent="0.25">
      <c r="A21" s="40" t="s">
        <v>551</v>
      </c>
      <c r="B21" t="s">
        <v>17</v>
      </c>
      <c r="C21" s="6">
        <v>33471.75</v>
      </c>
      <c r="D21" s="6">
        <f>C21</f>
        <v>33471.75</v>
      </c>
      <c r="E21" s="6">
        <f>D21</f>
        <v>33471.75</v>
      </c>
      <c r="F21" s="6">
        <v>33472</v>
      </c>
      <c r="G21" s="3" t="s">
        <v>159</v>
      </c>
      <c r="H21" t="s">
        <v>552</v>
      </c>
    </row>
    <row r="22" spans="1:9" ht="15" customHeight="1" x14ac:dyDescent="0.25">
      <c r="A22" s="40" t="s">
        <v>321</v>
      </c>
      <c r="B22" s="33" t="s">
        <v>55</v>
      </c>
      <c r="C22" s="6">
        <f>6250*2</f>
        <v>12500</v>
      </c>
      <c r="D22" s="6">
        <v>12500</v>
      </c>
      <c r="E22" s="6">
        <f>6250*2</f>
        <v>12500</v>
      </c>
      <c r="F22" s="6">
        <v>12500</v>
      </c>
      <c r="G22" s="3" t="s">
        <v>553</v>
      </c>
      <c r="H22" t="s">
        <v>554</v>
      </c>
      <c r="I22" s="82"/>
    </row>
    <row r="23" spans="1:9" ht="15" customHeight="1" x14ac:dyDescent="0.25">
      <c r="A23" s="40" t="s">
        <v>555</v>
      </c>
      <c r="B23" s="33" t="s">
        <v>18</v>
      </c>
      <c r="C23" s="6">
        <v>5000</v>
      </c>
      <c r="D23" s="6">
        <v>5000</v>
      </c>
      <c r="E23" s="6">
        <v>5000</v>
      </c>
      <c r="F23" s="6">
        <v>5000</v>
      </c>
      <c r="G23" s="3" t="s">
        <v>204</v>
      </c>
      <c r="H23" t="s">
        <v>556</v>
      </c>
      <c r="I23" s="82"/>
    </row>
    <row r="27" spans="1:9" x14ac:dyDescent="0.25">
      <c r="E27" s="2" t="s">
        <v>464</v>
      </c>
    </row>
    <row r="28" spans="1:9" ht="15" customHeight="1" x14ac:dyDescent="0.25">
      <c r="A28" s="47" t="s">
        <v>557</v>
      </c>
      <c r="B28" t="s">
        <v>17</v>
      </c>
      <c r="C28" s="6">
        <v>7325</v>
      </c>
      <c r="D28" s="6">
        <v>7325</v>
      </c>
      <c r="E28" s="6">
        <v>7325</v>
      </c>
      <c r="F28" s="6">
        <v>7325</v>
      </c>
      <c r="G28" s="3" t="s">
        <v>386</v>
      </c>
      <c r="H28" t="s">
        <v>558</v>
      </c>
    </row>
    <row r="29" spans="1:9" ht="15" customHeight="1" x14ac:dyDescent="0.25">
      <c r="A29" s="33"/>
      <c r="C29" s="6"/>
      <c r="D29" s="6"/>
      <c r="E29" s="6"/>
      <c r="F29" s="6"/>
    </row>
    <row r="30" spans="1:9" x14ac:dyDescent="0.25">
      <c r="A30" s="1" t="s">
        <v>133</v>
      </c>
      <c r="B30" s="33"/>
      <c r="C30" s="6"/>
      <c r="D30" s="6"/>
      <c r="E30" s="6"/>
      <c r="F30" s="6"/>
    </row>
    <row r="31" spans="1:9" x14ac:dyDescent="0.25">
      <c r="A31" s="33" t="s">
        <v>559</v>
      </c>
      <c r="B31" s="33" t="s">
        <v>18</v>
      </c>
      <c r="C31" s="6">
        <v>1184.4000000000001</v>
      </c>
      <c r="D31" s="6">
        <f t="shared" ref="D31:F32" si="0">C31</f>
        <v>1184.4000000000001</v>
      </c>
      <c r="E31" s="6">
        <f t="shared" si="0"/>
        <v>1184.4000000000001</v>
      </c>
      <c r="F31" s="6">
        <f t="shared" si="0"/>
        <v>1184.4000000000001</v>
      </c>
    </row>
    <row r="32" spans="1:9" x14ac:dyDescent="0.25">
      <c r="A32" s="33" t="s">
        <v>560</v>
      </c>
      <c r="B32" s="33" t="s">
        <v>18</v>
      </c>
      <c r="C32" s="6">
        <f>115.84</f>
        <v>115.84</v>
      </c>
      <c r="D32" s="6">
        <f t="shared" si="0"/>
        <v>115.84</v>
      </c>
      <c r="E32" s="6">
        <f t="shared" si="0"/>
        <v>115.84</v>
      </c>
      <c r="F32" s="6">
        <f t="shared" si="0"/>
        <v>115.84</v>
      </c>
    </row>
    <row r="33" spans="1:8" x14ac:dyDescent="0.25">
      <c r="A33" s="33" t="s">
        <v>561</v>
      </c>
      <c r="B33" s="33" t="s">
        <v>18</v>
      </c>
      <c r="C33" s="6">
        <f>151.18+93.75+45.32</f>
        <v>290.25</v>
      </c>
      <c r="D33" s="6">
        <f t="shared" ref="D33:F34" si="1">C33</f>
        <v>290.25</v>
      </c>
      <c r="E33" s="6">
        <f t="shared" si="1"/>
        <v>290.25</v>
      </c>
      <c r="F33" s="6">
        <f t="shared" si="1"/>
        <v>290.25</v>
      </c>
      <c r="H33" s="92"/>
    </row>
    <row r="34" spans="1:8" x14ac:dyDescent="0.25">
      <c r="A34" s="33" t="s">
        <v>152</v>
      </c>
      <c r="B34" s="33" t="s">
        <v>18</v>
      </c>
      <c r="C34" s="6">
        <v>243.75</v>
      </c>
      <c r="D34" s="6">
        <f t="shared" si="1"/>
        <v>243.75</v>
      </c>
      <c r="E34" s="6">
        <f t="shared" si="1"/>
        <v>243.75</v>
      </c>
      <c r="F34" s="6">
        <f t="shared" si="1"/>
        <v>243.75</v>
      </c>
    </row>
    <row r="35" spans="1:8" x14ac:dyDescent="0.25">
      <c r="A35" s="33" t="s">
        <v>562</v>
      </c>
      <c r="B35" s="33" t="s">
        <v>18</v>
      </c>
      <c r="C35" s="6">
        <v>5</v>
      </c>
      <c r="D35" s="6">
        <v>5</v>
      </c>
      <c r="E35" s="6">
        <v>5</v>
      </c>
      <c r="F35" s="6">
        <v>5</v>
      </c>
    </row>
    <row r="36" spans="1:8" x14ac:dyDescent="0.25">
      <c r="E36" s="6"/>
      <c r="F36" s="6"/>
    </row>
    <row r="37" spans="1:8" x14ac:dyDescent="0.25">
      <c r="A37" s="1" t="s">
        <v>168</v>
      </c>
      <c r="B37" s="1"/>
      <c r="C37" s="7">
        <f>SUM(C7:C36)</f>
        <v>278135.99000000005</v>
      </c>
      <c r="D37" s="7">
        <f>SUM(D7:D36)</f>
        <v>278135.99000000005</v>
      </c>
      <c r="E37" s="7">
        <f>SUM(E7:E36)</f>
        <v>278135.99000000005</v>
      </c>
      <c r="F37" s="108">
        <f>SUM(F7:F36)</f>
        <v>278136.24000000005</v>
      </c>
    </row>
    <row r="38" spans="1:8" x14ac:dyDescent="0.25">
      <c r="C38" s="6"/>
      <c r="D38" s="6"/>
      <c r="E38" s="6"/>
      <c r="F38" s="6"/>
    </row>
    <row r="39" spans="1:8" x14ac:dyDescent="0.25">
      <c r="A39" s="8"/>
      <c r="B39" s="8"/>
      <c r="C39" s="17"/>
      <c r="D39" s="17"/>
      <c r="E39" s="18"/>
      <c r="F39" s="18"/>
      <c r="G39" s="19"/>
      <c r="H39" s="8"/>
    </row>
    <row r="40" spans="1:8" x14ac:dyDescent="0.25">
      <c r="A40" s="1" t="s">
        <v>169</v>
      </c>
      <c r="B40" s="1"/>
      <c r="C40" s="6"/>
      <c r="D40" s="6"/>
      <c r="E40" s="7"/>
      <c r="F40" s="7"/>
    </row>
    <row r="41" spans="1:8" x14ac:dyDescent="0.25">
      <c r="A41" t="s">
        <v>563</v>
      </c>
      <c r="C41" s="6">
        <v>-3220</v>
      </c>
      <c r="D41" s="6">
        <f>C41</f>
        <v>-3220</v>
      </c>
      <c r="E41" s="6">
        <f>D41</f>
        <v>-3220</v>
      </c>
      <c r="F41" s="6">
        <f>E41</f>
        <v>-3220</v>
      </c>
      <c r="H41" t="s">
        <v>215</v>
      </c>
    </row>
    <row r="42" spans="1:8" x14ac:dyDescent="0.25">
      <c r="A42" t="s">
        <v>564</v>
      </c>
      <c r="C42" s="6">
        <v>-13227.01</v>
      </c>
      <c r="D42" s="6">
        <f t="shared" ref="D42:F45" si="2">C42</f>
        <v>-13227.01</v>
      </c>
      <c r="E42" s="6">
        <f t="shared" si="2"/>
        <v>-13227.01</v>
      </c>
      <c r="F42" s="6">
        <f t="shared" si="2"/>
        <v>-13227.01</v>
      </c>
      <c r="H42" t="s">
        <v>215</v>
      </c>
    </row>
    <row r="43" spans="1:8" x14ac:dyDescent="0.25">
      <c r="A43" t="s">
        <v>565</v>
      </c>
      <c r="C43" s="6">
        <v>0</v>
      </c>
      <c r="D43" s="6">
        <f t="shared" si="2"/>
        <v>0</v>
      </c>
      <c r="E43" s="6">
        <f t="shared" si="2"/>
        <v>0</v>
      </c>
      <c r="F43" s="6">
        <f t="shared" si="2"/>
        <v>0</v>
      </c>
      <c r="H43" t="s">
        <v>215</v>
      </c>
    </row>
    <row r="44" spans="1:8" x14ac:dyDescent="0.25">
      <c r="A44" t="s">
        <v>566</v>
      </c>
      <c r="C44" s="6">
        <v>-133859</v>
      </c>
      <c r="D44" s="6">
        <f t="shared" si="2"/>
        <v>-133859</v>
      </c>
      <c r="E44" s="6">
        <f t="shared" si="2"/>
        <v>-133859</v>
      </c>
      <c r="F44" s="6">
        <f t="shared" si="2"/>
        <v>-133859</v>
      </c>
      <c r="H44" t="s">
        <v>215</v>
      </c>
    </row>
    <row r="45" spans="1:8" x14ac:dyDescent="0.25">
      <c r="A45" t="s">
        <v>567</v>
      </c>
      <c r="C45" s="6">
        <v>-5310</v>
      </c>
      <c r="D45" s="6">
        <f t="shared" si="2"/>
        <v>-5310</v>
      </c>
      <c r="E45" s="6">
        <f t="shared" si="2"/>
        <v>-5310</v>
      </c>
      <c r="F45" s="6">
        <f t="shared" si="2"/>
        <v>-5310</v>
      </c>
      <c r="H45" t="s">
        <v>215</v>
      </c>
    </row>
    <row r="46" spans="1:8" x14ac:dyDescent="0.25">
      <c r="A46" t="s">
        <v>568</v>
      </c>
      <c r="C46" s="6">
        <v>1554</v>
      </c>
      <c r="D46" s="6">
        <f>C46</f>
        <v>1554</v>
      </c>
      <c r="E46" s="6">
        <f>D46</f>
        <v>1554</v>
      </c>
      <c r="F46" s="6">
        <f>E46</f>
        <v>1554</v>
      </c>
    </row>
    <row r="47" spans="1:8" x14ac:dyDescent="0.25">
      <c r="A47" s="1" t="s">
        <v>183</v>
      </c>
      <c r="B47" s="1"/>
      <c r="C47" s="7">
        <f>SUM(C41:C46)</f>
        <v>-154062.01</v>
      </c>
      <c r="D47" s="7">
        <f>SUM(D41:D46)</f>
        <v>-154062.01</v>
      </c>
      <c r="E47" s="7">
        <f>SUM(E41:E46)</f>
        <v>-154062.01</v>
      </c>
      <c r="F47" s="7">
        <f>SUM(F41:F46)</f>
        <v>-154062.01</v>
      </c>
    </row>
    <row r="48" spans="1:8" x14ac:dyDescent="0.25">
      <c r="A48" s="1"/>
      <c r="B48" s="1"/>
      <c r="C48" s="7"/>
      <c r="D48" s="7"/>
      <c r="E48" s="7"/>
      <c r="F48" s="7"/>
    </row>
    <row r="49" spans="1:9" x14ac:dyDescent="0.25">
      <c r="A49" s="42" t="s">
        <v>184</v>
      </c>
      <c r="B49" s="42"/>
      <c r="C49" s="43">
        <f>C37+C47</f>
        <v>124073.98000000004</v>
      </c>
      <c r="D49" s="43">
        <f>D37+D47</f>
        <v>124073.98000000004</v>
      </c>
      <c r="E49" s="43">
        <f>E37+E47</f>
        <v>124073.98000000004</v>
      </c>
      <c r="F49" s="43">
        <f>F37+F47</f>
        <v>124074.23000000004</v>
      </c>
    </row>
    <row r="51" spans="1:9" x14ac:dyDescent="0.25">
      <c r="A51" s="11" t="s">
        <v>569</v>
      </c>
      <c r="B51" s="11"/>
      <c r="C51" s="10">
        <f>C4+C37+C47</f>
        <v>238845.98000000004</v>
      </c>
      <c r="D51" s="10">
        <f>D4+D37+D47</f>
        <v>238845.98000000004</v>
      </c>
      <c r="E51" s="10">
        <f>E4+E37+E47</f>
        <v>238845.95000000007</v>
      </c>
      <c r="F51" s="12">
        <f>F4+F37+F47</f>
        <v>238846.20000000007</v>
      </c>
    </row>
    <row r="52" spans="1:9" x14ac:dyDescent="0.25">
      <c r="E52" s="2">
        <f>D51-E51</f>
        <v>2.9999999969732016E-2</v>
      </c>
      <c r="F52" s="2">
        <f>D51-F51</f>
        <v>-0.22000000003026798</v>
      </c>
    </row>
    <row r="53" spans="1:9" s="2" customFormat="1" ht="15.75" thickBot="1" x14ac:dyDescent="0.3">
      <c r="A53"/>
      <c r="B53"/>
      <c r="G53" s="3"/>
      <c r="H53"/>
      <c r="I53"/>
    </row>
    <row r="54" spans="1:9" s="2" customFormat="1" ht="15.75" thickBot="1" x14ac:dyDescent="0.3">
      <c r="A54" s="24" t="s">
        <v>570</v>
      </c>
      <c r="B54" s="24"/>
      <c r="C54" s="24"/>
      <c r="G54" s="3"/>
      <c r="H54"/>
      <c r="I54"/>
    </row>
    <row r="55" spans="1:9" s="2" customFormat="1" x14ac:dyDescent="0.25">
      <c r="A55" t="s">
        <v>571</v>
      </c>
      <c r="B55"/>
      <c r="G55" s="3"/>
      <c r="H55"/>
      <c r="I55"/>
    </row>
    <row r="56" spans="1:9" s="2" customFormat="1" x14ac:dyDescent="0.25">
      <c r="A56" t="s">
        <v>572</v>
      </c>
      <c r="B56"/>
      <c r="G56" s="3"/>
      <c r="H56"/>
      <c r="I56"/>
    </row>
    <row r="57" spans="1:9" s="2" customFormat="1" x14ac:dyDescent="0.25">
      <c r="A57" t="s">
        <v>573</v>
      </c>
      <c r="B57"/>
      <c r="G57" s="3"/>
      <c r="H57"/>
      <c r="I57"/>
    </row>
    <row r="58" spans="1:9" s="2" customFormat="1" x14ac:dyDescent="0.25">
      <c r="A58" t="s">
        <v>574</v>
      </c>
      <c r="B58"/>
      <c r="G58" s="3"/>
      <c r="H58"/>
      <c r="I58"/>
    </row>
    <row r="59" spans="1:9" s="2" customFormat="1" x14ac:dyDescent="0.25">
      <c r="A59" s="25" t="s">
        <v>191</v>
      </c>
      <c r="B59"/>
      <c r="G59" s="3"/>
      <c r="H59"/>
      <c r="I59"/>
    </row>
    <row r="60" spans="1:9" s="2" customFormat="1" x14ac:dyDescent="0.25">
      <c r="A60" s="22" t="s">
        <v>192</v>
      </c>
      <c r="B60"/>
      <c r="G60" s="3"/>
      <c r="H60"/>
      <c r="I60"/>
    </row>
    <row r="61" spans="1:9" s="2" customFormat="1" x14ac:dyDescent="0.25">
      <c r="A61" s="21" t="s">
        <v>193</v>
      </c>
      <c r="B61"/>
      <c r="G61" s="3"/>
      <c r="H61"/>
      <c r="I61"/>
    </row>
    <row r="62" spans="1:9" s="2" customFormat="1" x14ac:dyDescent="0.25">
      <c r="A62"/>
      <c r="B62" s="1"/>
      <c r="C62" s="1"/>
      <c r="G62" s="3"/>
      <c r="H62"/>
      <c r="I62"/>
    </row>
  </sheetData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0000"/>
    <pageSetUpPr fitToPage="1"/>
  </sheetPr>
  <dimension ref="A1:CJ126"/>
  <sheetViews>
    <sheetView showGridLines="0" tabSelected="1" zoomScale="89" zoomScaleNormal="89" zoomScaleSheetLayoutView="75" workbookViewId="0">
      <pane xSplit="1" ySplit="6" topLeftCell="B30" activePane="bottomRight" state="frozen"/>
      <selection pane="topRight"/>
      <selection pane="bottomLeft"/>
      <selection pane="bottomRight" activeCell="A65" sqref="A65"/>
    </sheetView>
  </sheetViews>
  <sheetFormatPr defaultRowHeight="15" x14ac:dyDescent="0.25"/>
  <cols>
    <col min="1" max="1" width="56.7109375" style="83" customWidth="1"/>
    <col min="2" max="2" width="10.85546875" style="1" bestFit="1" customWidth="1"/>
    <col min="3" max="3" width="14" style="1" customWidth="1"/>
    <col min="4" max="7" width="12.5703125" style="1" customWidth="1"/>
    <col min="8" max="8" width="14.42578125" style="1" customWidth="1"/>
    <col min="9" max="9" width="14.140625" style="1" customWidth="1"/>
    <col min="10" max="13" width="12.5703125" style="1" customWidth="1"/>
    <col min="14" max="14" width="15.85546875" style="1" customWidth="1"/>
    <col min="15" max="15" width="9.140625" style="256"/>
    <col min="16" max="16" width="11" style="256" customWidth="1"/>
    <col min="17" max="88" width="9.140625" style="256"/>
  </cols>
  <sheetData>
    <row r="1" spans="1:88" x14ac:dyDescent="0.25">
      <c r="A1" s="42"/>
      <c r="B1" s="255"/>
    </row>
    <row r="2" spans="1:88" x14ac:dyDescent="0.25">
      <c r="A2" s="101" t="s">
        <v>807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88" ht="37.5" customHeight="1" thickBot="1" x14ac:dyDescent="0.3">
      <c r="A3" s="101" t="s">
        <v>808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88" x14ac:dyDescent="0.25">
      <c r="A4" s="101" t="s">
        <v>59</v>
      </c>
      <c r="B4" s="243" t="s">
        <v>800</v>
      </c>
      <c r="C4" s="208" t="s">
        <v>62</v>
      </c>
      <c r="D4" s="208" t="s">
        <v>63</v>
      </c>
      <c r="E4" s="208" t="s">
        <v>64</v>
      </c>
      <c r="F4" s="208" t="s">
        <v>65</v>
      </c>
      <c r="G4" s="208" t="s">
        <v>66</v>
      </c>
      <c r="H4" s="208" t="s">
        <v>67</v>
      </c>
      <c r="I4" s="208" t="s">
        <v>68</v>
      </c>
      <c r="J4" s="208" t="s">
        <v>69</v>
      </c>
      <c r="K4" s="243" t="s">
        <v>801</v>
      </c>
      <c r="L4" s="208" t="s">
        <v>71</v>
      </c>
      <c r="M4" s="208" t="s">
        <v>72</v>
      </c>
      <c r="N4" s="232" t="s">
        <v>804</v>
      </c>
    </row>
    <row r="5" spans="1:88" x14ac:dyDescent="0.25">
      <c r="B5" s="226" t="s">
        <v>73</v>
      </c>
      <c r="C5" s="226" t="s">
        <v>73</v>
      </c>
      <c r="D5" s="226" t="s">
        <v>73</v>
      </c>
      <c r="E5" s="226" t="s">
        <v>73</v>
      </c>
      <c r="F5" s="226" t="s">
        <v>73</v>
      </c>
      <c r="G5" s="226" t="s">
        <v>73</v>
      </c>
      <c r="H5" s="226" t="s">
        <v>73</v>
      </c>
      <c r="I5" s="226" t="s">
        <v>73</v>
      </c>
      <c r="J5" s="226" t="s">
        <v>73</v>
      </c>
      <c r="K5" s="226" t="s">
        <v>73</v>
      </c>
      <c r="L5" s="226" t="s">
        <v>73</v>
      </c>
      <c r="M5" s="226" t="s">
        <v>73</v>
      </c>
      <c r="N5" s="233" t="s">
        <v>73</v>
      </c>
    </row>
    <row r="6" spans="1:88" x14ac:dyDescent="0.25">
      <c r="B6" s="215" t="s">
        <v>78</v>
      </c>
      <c r="C6" s="215" t="s">
        <v>7</v>
      </c>
      <c r="D6" s="215" t="s">
        <v>79</v>
      </c>
      <c r="E6" s="215" t="s">
        <v>80</v>
      </c>
      <c r="F6" s="215" t="s">
        <v>81</v>
      </c>
      <c r="G6" s="215" t="s">
        <v>82</v>
      </c>
      <c r="H6" s="215" t="s">
        <v>74</v>
      </c>
      <c r="I6" s="215" t="s">
        <v>75</v>
      </c>
      <c r="J6" s="215" t="s">
        <v>83</v>
      </c>
      <c r="K6" s="215" t="s">
        <v>802</v>
      </c>
      <c r="L6" s="215" t="s">
        <v>76</v>
      </c>
      <c r="M6" s="215" t="s">
        <v>77</v>
      </c>
      <c r="N6" s="234" t="s">
        <v>803</v>
      </c>
      <c r="P6" s="262" t="s">
        <v>49</v>
      </c>
    </row>
    <row r="7" spans="1:88" ht="32.25" customHeight="1" x14ac:dyDescent="0.25">
      <c r="A7" s="83" t="s">
        <v>84</v>
      </c>
      <c r="B7" s="210">
        <v>10000</v>
      </c>
      <c r="C7" s="210">
        <f t="shared" ref="C7:J7" si="0">+B10</f>
        <v>12100</v>
      </c>
      <c r="D7" s="210">
        <f t="shared" si="0"/>
        <v>14200</v>
      </c>
      <c r="E7" s="210">
        <f t="shared" si="0"/>
        <v>16300</v>
      </c>
      <c r="F7" s="210">
        <f t="shared" si="0"/>
        <v>18400</v>
      </c>
      <c r="G7" s="210">
        <f t="shared" si="0"/>
        <v>20500</v>
      </c>
      <c r="H7" s="210">
        <f t="shared" si="0"/>
        <v>22600</v>
      </c>
      <c r="I7" s="210">
        <f t="shared" si="0"/>
        <v>24700</v>
      </c>
      <c r="J7" s="210">
        <f t="shared" si="0"/>
        <v>26800</v>
      </c>
      <c r="K7" s="210">
        <f t="shared" ref="K7" si="1">+J10</f>
        <v>28900</v>
      </c>
      <c r="L7" s="210">
        <f t="shared" ref="L7" si="2">+K10</f>
        <v>31000</v>
      </c>
      <c r="M7" s="210">
        <f t="shared" ref="M7" si="3">+L10</f>
        <v>33100</v>
      </c>
      <c r="N7" s="235">
        <f>+B7</f>
        <v>10000</v>
      </c>
      <c r="P7" s="263">
        <f>+B7</f>
        <v>10000</v>
      </c>
      <c r="Q7" s="256" t="s">
        <v>826</v>
      </c>
    </row>
    <row r="8" spans="1:88" ht="20.25" customHeight="1" x14ac:dyDescent="0.25">
      <c r="A8" s="248" t="s">
        <v>809</v>
      </c>
      <c r="B8" s="250">
        <f t="shared" ref="B8:J8" si="4">+B24</f>
        <v>4510</v>
      </c>
      <c r="C8" s="250">
        <f t="shared" si="4"/>
        <v>4510</v>
      </c>
      <c r="D8" s="250">
        <f t="shared" si="4"/>
        <v>4510</v>
      </c>
      <c r="E8" s="250">
        <f t="shared" si="4"/>
        <v>4510</v>
      </c>
      <c r="F8" s="250">
        <f t="shared" si="4"/>
        <v>4510</v>
      </c>
      <c r="G8" s="250">
        <f t="shared" si="4"/>
        <v>4510</v>
      </c>
      <c r="H8" s="250">
        <f t="shared" si="4"/>
        <v>4510</v>
      </c>
      <c r="I8" s="250">
        <f t="shared" si="4"/>
        <v>4510</v>
      </c>
      <c r="J8" s="250">
        <f t="shared" si="4"/>
        <v>4510</v>
      </c>
      <c r="K8" s="250">
        <f t="shared" ref="K8:M8" si="5">+K24</f>
        <v>4510</v>
      </c>
      <c r="L8" s="250">
        <f t="shared" si="5"/>
        <v>4510</v>
      </c>
      <c r="M8" s="250">
        <f t="shared" si="5"/>
        <v>4510</v>
      </c>
      <c r="N8" s="236">
        <f>SUM(B8:M8)</f>
        <v>54120</v>
      </c>
      <c r="P8" s="264">
        <f>+N24</f>
        <v>54120</v>
      </c>
      <c r="Q8" s="256" t="s">
        <v>827</v>
      </c>
    </row>
    <row r="9" spans="1:88" ht="20.25" customHeight="1" thickBot="1" x14ac:dyDescent="0.3">
      <c r="A9" s="259" t="s">
        <v>810</v>
      </c>
      <c r="B9" s="260">
        <f>+B60</f>
        <v>-2410</v>
      </c>
      <c r="C9" s="260">
        <f t="shared" ref="C9:M9" si="6">+C60</f>
        <v>-2410</v>
      </c>
      <c r="D9" s="260">
        <f t="shared" si="6"/>
        <v>-2410</v>
      </c>
      <c r="E9" s="260">
        <f t="shared" si="6"/>
        <v>-2410</v>
      </c>
      <c r="F9" s="260">
        <f t="shared" si="6"/>
        <v>-2410</v>
      </c>
      <c r="G9" s="260">
        <f t="shared" si="6"/>
        <v>-2410</v>
      </c>
      <c r="H9" s="260">
        <f t="shared" si="6"/>
        <v>-2410</v>
      </c>
      <c r="I9" s="260">
        <f t="shared" si="6"/>
        <v>-2410</v>
      </c>
      <c r="J9" s="260">
        <f t="shared" si="6"/>
        <v>-2410</v>
      </c>
      <c r="K9" s="260">
        <f t="shared" si="6"/>
        <v>-2410</v>
      </c>
      <c r="L9" s="260">
        <f t="shared" si="6"/>
        <v>-2410</v>
      </c>
      <c r="M9" s="260">
        <f t="shared" si="6"/>
        <v>-2410</v>
      </c>
      <c r="N9" s="237">
        <f>SUM(B9:M9)</f>
        <v>-28920</v>
      </c>
      <c r="P9" s="263">
        <f>+N31+N40+N57</f>
        <v>-28920</v>
      </c>
      <c r="Q9" s="256" t="s">
        <v>828</v>
      </c>
    </row>
    <row r="10" spans="1:88" ht="20.25" customHeight="1" thickTop="1" thickBot="1" x14ac:dyDescent="0.3">
      <c r="A10" s="83" t="s">
        <v>85</v>
      </c>
      <c r="B10" s="211">
        <f>SUM(B7:B9)</f>
        <v>12100</v>
      </c>
      <c r="C10" s="211">
        <f t="shared" ref="C10:N10" si="7">SUM(C7:C9)</f>
        <v>14200</v>
      </c>
      <c r="D10" s="211">
        <f t="shared" si="7"/>
        <v>16300</v>
      </c>
      <c r="E10" s="211">
        <f t="shared" si="7"/>
        <v>18400</v>
      </c>
      <c r="F10" s="211">
        <f t="shared" si="7"/>
        <v>20500</v>
      </c>
      <c r="G10" s="211">
        <f t="shared" si="7"/>
        <v>22600</v>
      </c>
      <c r="H10" s="211">
        <f t="shared" si="7"/>
        <v>24700</v>
      </c>
      <c r="I10" s="211">
        <f t="shared" si="7"/>
        <v>26800</v>
      </c>
      <c r="J10" s="211">
        <f t="shared" si="7"/>
        <v>28900</v>
      </c>
      <c r="K10" s="211">
        <f t="shared" si="7"/>
        <v>31000</v>
      </c>
      <c r="L10" s="211">
        <f t="shared" si="7"/>
        <v>33100</v>
      </c>
      <c r="M10" s="211">
        <f t="shared" si="7"/>
        <v>35200</v>
      </c>
      <c r="N10" s="238">
        <f t="shared" si="7"/>
        <v>35200</v>
      </c>
      <c r="P10" s="263">
        <f>SUM(P7:P9)</f>
        <v>35200</v>
      </c>
      <c r="Q10" s="257" t="s">
        <v>829</v>
      </c>
    </row>
    <row r="11" spans="1:88" s="1" customFormat="1" ht="20.25" customHeight="1" thickTop="1" x14ac:dyDescent="0.25">
      <c r="A11" s="101" t="s">
        <v>838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35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8"/>
      <c r="CC11" s="258"/>
      <c r="CD11" s="258"/>
      <c r="CE11" s="258"/>
      <c r="CF11" s="258"/>
      <c r="CG11" s="258"/>
      <c r="CH11" s="258"/>
      <c r="CI11" s="258"/>
      <c r="CJ11" s="258"/>
    </row>
    <row r="12" spans="1:88" s="1" customFormat="1" ht="20.25" customHeight="1" x14ac:dyDescent="0.25">
      <c r="A12" s="101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35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  <c r="CJ12" s="258"/>
    </row>
    <row r="13" spans="1:88" x14ac:dyDescent="0.25">
      <c r="A13" s="251" t="s">
        <v>811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35"/>
    </row>
    <row r="14" spans="1:88" x14ac:dyDescent="0.25">
      <c r="A14" s="231" t="s">
        <v>812</v>
      </c>
      <c r="B14" s="223">
        <v>1000</v>
      </c>
      <c r="C14" s="223">
        <v>1000</v>
      </c>
      <c r="D14" s="223">
        <v>1000</v>
      </c>
      <c r="E14" s="223">
        <v>1000</v>
      </c>
      <c r="F14" s="223">
        <v>1000</v>
      </c>
      <c r="G14" s="223">
        <v>1000</v>
      </c>
      <c r="H14" s="223">
        <v>1000</v>
      </c>
      <c r="I14" s="223">
        <v>1000</v>
      </c>
      <c r="J14" s="223">
        <v>1000</v>
      </c>
      <c r="K14" s="223">
        <v>1000</v>
      </c>
      <c r="L14" s="223">
        <v>1000</v>
      </c>
      <c r="M14" s="223">
        <v>1000</v>
      </c>
      <c r="N14" s="236">
        <f>SUM(B14:M14)</f>
        <v>12000</v>
      </c>
    </row>
    <row r="15" spans="1:88" x14ac:dyDescent="0.25">
      <c r="A15" s="231" t="s">
        <v>813</v>
      </c>
      <c r="B15" s="229">
        <v>500</v>
      </c>
      <c r="C15" s="229">
        <v>500</v>
      </c>
      <c r="D15" s="229">
        <v>500</v>
      </c>
      <c r="E15" s="229">
        <v>500</v>
      </c>
      <c r="F15" s="229">
        <v>500</v>
      </c>
      <c r="G15" s="229">
        <v>500</v>
      </c>
      <c r="H15" s="229">
        <v>500</v>
      </c>
      <c r="I15" s="229">
        <v>500</v>
      </c>
      <c r="J15" s="229">
        <v>500</v>
      </c>
      <c r="K15" s="229">
        <v>500</v>
      </c>
      <c r="L15" s="229">
        <v>500</v>
      </c>
      <c r="M15" s="229">
        <v>500</v>
      </c>
      <c r="N15" s="236">
        <f>SUM(B15:M15)</f>
        <v>6000</v>
      </c>
    </row>
    <row r="16" spans="1:88" s="224" customFormat="1" x14ac:dyDescent="0.25">
      <c r="A16" s="231" t="s">
        <v>814</v>
      </c>
      <c r="B16" s="229">
        <v>1000</v>
      </c>
      <c r="C16" s="229">
        <v>1000</v>
      </c>
      <c r="D16" s="229">
        <v>1000</v>
      </c>
      <c r="E16" s="229">
        <v>1000</v>
      </c>
      <c r="F16" s="229">
        <v>1000</v>
      </c>
      <c r="G16" s="229">
        <v>1000</v>
      </c>
      <c r="H16" s="229">
        <v>1000</v>
      </c>
      <c r="I16" s="229">
        <v>1000</v>
      </c>
      <c r="J16" s="229">
        <v>1000</v>
      </c>
      <c r="K16" s="229">
        <v>1000</v>
      </c>
      <c r="L16" s="229">
        <v>1000</v>
      </c>
      <c r="M16" s="229">
        <v>1000</v>
      </c>
      <c r="N16" s="236">
        <f>SUM(B16:M16)</f>
        <v>12000</v>
      </c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</row>
    <row r="17" spans="1:88" x14ac:dyDescent="0.25">
      <c r="A17" s="231" t="s">
        <v>815</v>
      </c>
      <c r="B17" s="223">
        <v>2000</v>
      </c>
      <c r="C17" s="223">
        <v>2000</v>
      </c>
      <c r="D17" s="223">
        <v>2000</v>
      </c>
      <c r="E17" s="223">
        <v>2000</v>
      </c>
      <c r="F17" s="223">
        <v>2000</v>
      </c>
      <c r="G17" s="223">
        <v>2000</v>
      </c>
      <c r="H17" s="223">
        <v>2000</v>
      </c>
      <c r="I17" s="223">
        <v>2000</v>
      </c>
      <c r="J17" s="223">
        <v>2000</v>
      </c>
      <c r="K17" s="223">
        <v>2000</v>
      </c>
      <c r="L17" s="223">
        <v>2000</v>
      </c>
      <c r="M17" s="223">
        <v>2000</v>
      </c>
      <c r="N17" s="236">
        <f t="shared" ref="N17" si="8">SUM(B17:M17)</f>
        <v>24000</v>
      </c>
    </row>
    <row r="18" spans="1:88" x14ac:dyDescent="0.25">
      <c r="A18" s="49" t="s">
        <v>817</v>
      </c>
      <c r="B18" s="229">
        <v>10</v>
      </c>
      <c r="C18" s="229">
        <v>10</v>
      </c>
      <c r="D18" s="229">
        <v>10</v>
      </c>
      <c r="E18" s="229">
        <v>10</v>
      </c>
      <c r="F18" s="229">
        <v>10</v>
      </c>
      <c r="G18" s="229">
        <v>10</v>
      </c>
      <c r="H18" s="229">
        <v>10</v>
      </c>
      <c r="I18" s="229">
        <v>10</v>
      </c>
      <c r="J18" s="229">
        <v>10</v>
      </c>
      <c r="K18" s="229">
        <v>10</v>
      </c>
      <c r="L18" s="229">
        <v>10</v>
      </c>
      <c r="M18" s="229">
        <v>10</v>
      </c>
      <c r="N18" s="236">
        <f>SUM(B18:M18)</f>
        <v>120</v>
      </c>
    </row>
    <row r="19" spans="1:88" s="224" customFormat="1" x14ac:dyDescent="0.25">
      <c r="A19" s="253" t="s">
        <v>834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36">
        <f>SUM(B19:M19)</f>
        <v>0</v>
      </c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</row>
    <row r="20" spans="1:88" x14ac:dyDescent="0.25"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36">
        <f>SUM(B20:M20)</f>
        <v>0</v>
      </c>
    </row>
    <row r="21" spans="1:88" s="242" customFormat="1" x14ac:dyDescent="0.25">
      <c r="A21" s="231"/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36">
        <f t="shared" ref="N21:N22" si="9">SUM(B21:M21)</f>
        <v>0</v>
      </c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246"/>
      <c r="BI21" s="246"/>
      <c r="BJ21" s="246"/>
      <c r="BK21" s="246"/>
      <c r="BL21" s="246"/>
      <c r="BM21" s="246"/>
      <c r="BN21" s="246"/>
      <c r="BO21" s="246"/>
      <c r="BP21" s="246"/>
      <c r="BQ21" s="246"/>
      <c r="BR21" s="246"/>
      <c r="BS21" s="246"/>
      <c r="BT21" s="246"/>
      <c r="BU21" s="246"/>
      <c r="BV21" s="246"/>
      <c r="BW21" s="246"/>
      <c r="BX21" s="246"/>
      <c r="BY21" s="246"/>
      <c r="BZ21" s="246"/>
      <c r="CA21" s="246"/>
      <c r="CB21" s="246"/>
      <c r="CC21" s="246"/>
      <c r="CD21" s="246"/>
      <c r="CE21" s="246"/>
      <c r="CF21" s="246"/>
      <c r="CG21" s="246"/>
      <c r="CH21" s="246"/>
      <c r="CI21" s="246"/>
      <c r="CJ21" s="246"/>
    </row>
    <row r="22" spans="1:88" x14ac:dyDescent="0.25"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36">
        <f t="shared" si="9"/>
        <v>0</v>
      </c>
    </row>
    <row r="23" spans="1:88" ht="6.95" customHeight="1" x14ac:dyDescent="0.25"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36"/>
    </row>
    <row r="24" spans="1:88" x14ac:dyDescent="0.25">
      <c r="A24" s="251" t="s">
        <v>816</v>
      </c>
      <c r="B24" s="252">
        <f t="shared" ref="B24:N24" si="10">SUM(B14:B23)</f>
        <v>4510</v>
      </c>
      <c r="C24" s="252">
        <f t="shared" si="10"/>
        <v>4510</v>
      </c>
      <c r="D24" s="252">
        <f t="shared" si="10"/>
        <v>4510</v>
      </c>
      <c r="E24" s="252">
        <f t="shared" si="10"/>
        <v>4510</v>
      </c>
      <c r="F24" s="252">
        <f t="shared" si="10"/>
        <v>4510</v>
      </c>
      <c r="G24" s="252">
        <f t="shared" si="10"/>
        <v>4510</v>
      </c>
      <c r="H24" s="252">
        <f t="shared" si="10"/>
        <v>4510</v>
      </c>
      <c r="I24" s="252">
        <f t="shared" si="10"/>
        <v>4510</v>
      </c>
      <c r="J24" s="252">
        <f t="shared" si="10"/>
        <v>4510</v>
      </c>
      <c r="K24" s="252">
        <f t="shared" si="10"/>
        <v>4510</v>
      </c>
      <c r="L24" s="252">
        <f t="shared" si="10"/>
        <v>4510</v>
      </c>
      <c r="M24" s="252">
        <f t="shared" si="10"/>
        <v>4510</v>
      </c>
      <c r="N24" s="236">
        <f t="shared" si="10"/>
        <v>54120</v>
      </c>
      <c r="P24" s="264">
        <f>SUM(B24:M24)</f>
        <v>54120</v>
      </c>
      <c r="Q24" s="257" t="s">
        <v>830</v>
      </c>
    </row>
    <row r="25" spans="1:88" x14ac:dyDescent="0.25"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39"/>
    </row>
    <row r="26" spans="1:88" x14ac:dyDescent="0.25">
      <c r="A26" s="227" t="s">
        <v>818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39"/>
    </row>
    <row r="27" spans="1:88" x14ac:dyDescent="0.25">
      <c r="A27" s="83" t="s">
        <v>87</v>
      </c>
      <c r="B27" s="212">
        <v>-1000</v>
      </c>
      <c r="C27" s="244">
        <v>-1000</v>
      </c>
      <c r="D27" s="244">
        <v>-1000</v>
      </c>
      <c r="E27" s="244">
        <v>-1000</v>
      </c>
      <c r="F27" s="244">
        <v>-1000</v>
      </c>
      <c r="G27" s="244">
        <v>-1000</v>
      </c>
      <c r="H27" s="244">
        <v>-1000</v>
      </c>
      <c r="I27" s="244">
        <v>-1000</v>
      </c>
      <c r="J27" s="244">
        <v>-1000</v>
      </c>
      <c r="K27" s="244">
        <v>-1000</v>
      </c>
      <c r="L27" s="244">
        <v>-1000</v>
      </c>
      <c r="M27" s="244">
        <v>-1000</v>
      </c>
      <c r="N27" s="239">
        <f>SUM(B27:M27)</f>
        <v>-12000</v>
      </c>
    </row>
    <row r="28" spans="1:88" x14ac:dyDescent="0.25">
      <c r="A28" s="83" t="s">
        <v>88</v>
      </c>
      <c r="B28" s="212">
        <v>-40</v>
      </c>
      <c r="C28" s="244">
        <v>-40</v>
      </c>
      <c r="D28" s="244">
        <v>-40</v>
      </c>
      <c r="E28" s="244">
        <v>-40</v>
      </c>
      <c r="F28" s="244">
        <v>-40</v>
      </c>
      <c r="G28" s="244">
        <v>-40</v>
      </c>
      <c r="H28" s="244">
        <v>-40</v>
      </c>
      <c r="I28" s="244">
        <v>-40</v>
      </c>
      <c r="J28" s="244">
        <v>-40</v>
      </c>
      <c r="K28" s="244">
        <v>-40</v>
      </c>
      <c r="L28" s="244">
        <v>-40</v>
      </c>
      <c r="M28" s="244">
        <v>-40</v>
      </c>
      <c r="N28" s="239">
        <f t="shared" ref="N28:N30" si="11">SUM(B28:M28)</f>
        <v>-480</v>
      </c>
    </row>
    <row r="29" spans="1:88" x14ac:dyDescent="0.25">
      <c r="A29" s="231" t="s">
        <v>89</v>
      </c>
      <c r="B29" s="212">
        <v>-200</v>
      </c>
      <c r="C29" s="244">
        <v>-200</v>
      </c>
      <c r="D29" s="244">
        <v>-200</v>
      </c>
      <c r="E29" s="244">
        <v>-200</v>
      </c>
      <c r="F29" s="244">
        <v>-200</v>
      </c>
      <c r="G29" s="244">
        <v>-200</v>
      </c>
      <c r="H29" s="244">
        <v>-200</v>
      </c>
      <c r="I29" s="244">
        <v>-200</v>
      </c>
      <c r="J29" s="244">
        <v>-200</v>
      </c>
      <c r="K29" s="244">
        <v>-200</v>
      </c>
      <c r="L29" s="244">
        <v>-200</v>
      </c>
      <c r="M29" s="244">
        <v>-200</v>
      </c>
      <c r="N29" s="239">
        <f t="shared" si="11"/>
        <v>-2400</v>
      </c>
    </row>
    <row r="30" spans="1:88" ht="18.75" customHeight="1" x14ac:dyDescent="0.25">
      <c r="A30" s="254" t="s">
        <v>133</v>
      </c>
      <c r="B30" s="212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36">
        <f t="shared" si="11"/>
        <v>0</v>
      </c>
    </row>
    <row r="31" spans="1:88" s="35" customFormat="1" x14ac:dyDescent="0.25">
      <c r="A31" s="230" t="s">
        <v>835</v>
      </c>
      <c r="B31" s="213">
        <f t="shared" ref="B31:N31" si="12">SUM(B27:B30)</f>
        <v>-1240</v>
      </c>
      <c r="C31" s="213">
        <f t="shared" si="12"/>
        <v>-1240</v>
      </c>
      <c r="D31" s="213">
        <f t="shared" si="12"/>
        <v>-1240</v>
      </c>
      <c r="E31" s="213">
        <f t="shared" si="12"/>
        <v>-1240</v>
      </c>
      <c r="F31" s="213">
        <f t="shared" si="12"/>
        <v>-1240</v>
      </c>
      <c r="G31" s="213">
        <f t="shared" si="12"/>
        <v>-1240</v>
      </c>
      <c r="H31" s="213">
        <f t="shared" si="12"/>
        <v>-1240</v>
      </c>
      <c r="I31" s="213">
        <f t="shared" si="12"/>
        <v>-1240</v>
      </c>
      <c r="J31" s="213">
        <f t="shared" si="12"/>
        <v>-1240</v>
      </c>
      <c r="K31" s="213">
        <f t="shared" si="12"/>
        <v>-1240</v>
      </c>
      <c r="L31" s="213">
        <f t="shared" si="12"/>
        <v>-1240</v>
      </c>
      <c r="M31" s="213">
        <f t="shared" si="12"/>
        <v>-1240</v>
      </c>
      <c r="N31" s="239">
        <f t="shared" si="12"/>
        <v>-14880</v>
      </c>
      <c r="O31" s="258"/>
      <c r="P31" s="266">
        <f>SUM(B31:M31)</f>
        <v>-14880</v>
      </c>
      <c r="Q31" s="257" t="s">
        <v>831</v>
      </c>
      <c r="R31" s="256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  <c r="CB31" s="258"/>
      <c r="CC31" s="258"/>
      <c r="CD31" s="258"/>
      <c r="CE31" s="258"/>
      <c r="CF31" s="258"/>
      <c r="CG31" s="258"/>
      <c r="CH31" s="258"/>
      <c r="CI31" s="258"/>
      <c r="CJ31" s="258"/>
    </row>
    <row r="32" spans="1:88" x14ac:dyDescent="0.25"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39"/>
    </row>
    <row r="33" spans="1:88" x14ac:dyDescent="0.25"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40"/>
    </row>
    <row r="34" spans="1:88" x14ac:dyDescent="0.25">
      <c r="A34" s="227" t="s">
        <v>821</v>
      </c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39"/>
    </row>
    <row r="35" spans="1:88" x14ac:dyDescent="0.25">
      <c r="A35" s="83" t="s">
        <v>819</v>
      </c>
      <c r="B35" s="212">
        <v>-500</v>
      </c>
      <c r="C35" s="244">
        <v>-500</v>
      </c>
      <c r="D35" s="244">
        <v>-500</v>
      </c>
      <c r="E35" s="244">
        <v>-500</v>
      </c>
      <c r="F35" s="244">
        <v>-500</v>
      </c>
      <c r="G35" s="244">
        <v>-500</v>
      </c>
      <c r="H35" s="244">
        <v>-500</v>
      </c>
      <c r="I35" s="244">
        <v>-500</v>
      </c>
      <c r="J35" s="244">
        <v>-500</v>
      </c>
      <c r="K35" s="244">
        <v>-500</v>
      </c>
      <c r="L35" s="244">
        <v>-500</v>
      </c>
      <c r="M35" s="244">
        <v>-500</v>
      </c>
      <c r="N35" s="239">
        <f t="shared" ref="N35:N39" si="13">SUM(B35:M35)</f>
        <v>-6000</v>
      </c>
    </row>
    <row r="36" spans="1:88" x14ac:dyDescent="0.25">
      <c r="A36" s="231" t="s">
        <v>820</v>
      </c>
      <c r="B36" s="212">
        <v>-50</v>
      </c>
      <c r="C36" s="244">
        <v>-50</v>
      </c>
      <c r="D36" s="244">
        <v>-50</v>
      </c>
      <c r="E36" s="244">
        <v>-50</v>
      </c>
      <c r="F36" s="244">
        <v>-50</v>
      </c>
      <c r="G36" s="244">
        <v>-50</v>
      </c>
      <c r="H36" s="244">
        <v>-50</v>
      </c>
      <c r="I36" s="244">
        <v>-50</v>
      </c>
      <c r="J36" s="244">
        <v>-50</v>
      </c>
      <c r="K36" s="244">
        <v>-50</v>
      </c>
      <c r="L36" s="244">
        <v>-50</v>
      </c>
      <c r="M36" s="244">
        <v>-50</v>
      </c>
      <c r="N36" s="239">
        <f t="shared" si="13"/>
        <v>-600</v>
      </c>
    </row>
    <row r="37" spans="1:88" x14ac:dyDescent="0.25">
      <c r="A37" s="83" t="s">
        <v>833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36">
        <f t="shared" si="13"/>
        <v>0</v>
      </c>
    </row>
    <row r="38" spans="1:88" x14ac:dyDescent="0.25"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36">
        <f t="shared" si="13"/>
        <v>0</v>
      </c>
    </row>
    <row r="39" spans="1:88" x14ac:dyDescent="0.25">
      <c r="A39" s="101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36">
        <f t="shared" si="13"/>
        <v>0</v>
      </c>
    </row>
    <row r="40" spans="1:88" s="139" customFormat="1" x14ac:dyDescent="0.25">
      <c r="A40" s="230" t="s">
        <v>837</v>
      </c>
      <c r="B40" s="213">
        <f>SUM(B35:B39)</f>
        <v>-550</v>
      </c>
      <c r="C40" s="213">
        <f t="shared" ref="C40:N40" si="14">SUM(C35:C39)</f>
        <v>-550</v>
      </c>
      <c r="D40" s="213">
        <f t="shared" si="14"/>
        <v>-550</v>
      </c>
      <c r="E40" s="213">
        <f t="shared" si="14"/>
        <v>-550</v>
      </c>
      <c r="F40" s="213">
        <f t="shared" si="14"/>
        <v>-550</v>
      </c>
      <c r="G40" s="213">
        <f t="shared" si="14"/>
        <v>-550</v>
      </c>
      <c r="H40" s="213">
        <f t="shared" si="14"/>
        <v>-550</v>
      </c>
      <c r="I40" s="213">
        <f t="shared" si="14"/>
        <v>-550</v>
      </c>
      <c r="J40" s="213">
        <f t="shared" si="14"/>
        <v>-550</v>
      </c>
      <c r="K40" s="213">
        <f t="shared" si="14"/>
        <v>-550</v>
      </c>
      <c r="L40" s="213">
        <f t="shared" si="14"/>
        <v>-550</v>
      </c>
      <c r="M40" s="213">
        <f t="shared" si="14"/>
        <v>-550</v>
      </c>
      <c r="N40" s="239">
        <f t="shared" si="14"/>
        <v>-6600</v>
      </c>
      <c r="O40" s="256"/>
      <c r="P40" s="266">
        <f>SUM(B40:M40)</f>
        <v>-6600</v>
      </c>
      <c r="Q40" s="257" t="s">
        <v>832</v>
      </c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</row>
    <row r="41" spans="1:88" x14ac:dyDescent="0.25">
      <c r="A41" s="101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39"/>
    </row>
    <row r="42" spans="1:88" x14ac:dyDescent="0.25">
      <c r="A42" s="101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39"/>
    </row>
    <row r="43" spans="1:88" x14ac:dyDescent="0.25">
      <c r="A43" s="227" t="s">
        <v>90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39"/>
    </row>
    <row r="44" spans="1:88" x14ac:dyDescent="0.25">
      <c r="A44" s="101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39"/>
    </row>
    <row r="45" spans="1:88" x14ac:dyDescent="0.25">
      <c r="A45" s="207" t="s">
        <v>91</v>
      </c>
      <c r="B45" s="212">
        <v>-50</v>
      </c>
      <c r="C45" s="244">
        <v>-50</v>
      </c>
      <c r="D45" s="244">
        <v>-50</v>
      </c>
      <c r="E45" s="244">
        <v>-50</v>
      </c>
      <c r="F45" s="244">
        <v>-50</v>
      </c>
      <c r="G45" s="244">
        <v>-50</v>
      </c>
      <c r="H45" s="244">
        <v>-50</v>
      </c>
      <c r="I45" s="244">
        <v>-50</v>
      </c>
      <c r="J45" s="244">
        <v>-50</v>
      </c>
      <c r="K45" s="244">
        <v>-50</v>
      </c>
      <c r="L45" s="244">
        <v>-50</v>
      </c>
      <c r="M45" s="244">
        <v>-50</v>
      </c>
      <c r="N45" s="239">
        <f t="shared" ref="N45:N56" si="15">SUM(B45:M45)</f>
        <v>-600</v>
      </c>
    </row>
    <row r="46" spans="1:88" x14ac:dyDescent="0.25">
      <c r="A46" s="83" t="s">
        <v>92</v>
      </c>
      <c r="B46" s="212">
        <v>-10</v>
      </c>
      <c r="C46" s="244">
        <v>-10</v>
      </c>
      <c r="D46" s="244">
        <v>-10</v>
      </c>
      <c r="E46" s="244">
        <v>-10</v>
      </c>
      <c r="F46" s="244">
        <v>-10</v>
      </c>
      <c r="G46" s="244">
        <v>-10</v>
      </c>
      <c r="H46" s="244">
        <v>-10</v>
      </c>
      <c r="I46" s="244">
        <v>-10</v>
      </c>
      <c r="J46" s="244">
        <v>-10</v>
      </c>
      <c r="K46" s="244">
        <v>-10</v>
      </c>
      <c r="L46" s="244">
        <v>-10</v>
      </c>
      <c r="M46" s="244">
        <v>-10</v>
      </c>
      <c r="N46" s="239">
        <f t="shared" si="15"/>
        <v>-120</v>
      </c>
    </row>
    <row r="47" spans="1:88" x14ac:dyDescent="0.25">
      <c r="A47" s="83" t="s">
        <v>806</v>
      </c>
      <c r="B47" s="212">
        <v>-10</v>
      </c>
      <c r="C47" s="244">
        <v>-10</v>
      </c>
      <c r="D47" s="244">
        <v>-10</v>
      </c>
      <c r="E47" s="244">
        <v>-10</v>
      </c>
      <c r="F47" s="244">
        <v>-10</v>
      </c>
      <c r="G47" s="244">
        <v>-10</v>
      </c>
      <c r="H47" s="244">
        <v>-10</v>
      </c>
      <c r="I47" s="244">
        <v>-10</v>
      </c>
      <c r="J47" s="244">
        <v>-10</v>
      </c>
      <c r="K47" s="244">
        <v>-10</v>
      </c>
      <c r="L47" s="244">
        <v>-10</v>
      </c>
      <c r="M47" s="244">
        <v>-10</v>
      </c>
      <c r="N47" s="239">
        <f t="shared" si="15"/>
        <v>-120</v>
      </c>
    </row>
    <row r="48" spans="1:88" x14ac:dyDescent="0.25">
      <c r="A48" s="83" t="s">
        <v>805</v>
      </c>
      <c r="B48" s="212">
        <v>-100</v>
      </c>
      <c r="C48" s="244">
        <v>-100</v>
      </c>
      <c r="D48" s="244">
        <v>-100</v>
      </c>
      <c r="E48" s="244">
        <v>-100</v>
      </c>
      <c r="F48" s="244">
        <v>-100</v>
      </c>
      <c r="G48" s="244">
        <v>-100</v>
      </c>
      <c r="H48" s="244">
        <v>-100</v>
      </c>
      <c r="I48" s="244">
        <v>-100</v>
      </c>
      <c r="J48" s="244">
        <v>-100</v>
      </c>
      <c r="K48" s="244">
        <v>-100</v>
      </c>
      <c r="L48" s="244">
        <v>-100</v>
      </c>
      <c r="M48" s="244">
        <v>-100</v>
      </c>
      <c r="N48" s="239">
        <f t="shared" si="15"/>
        <v>-1200</v>
      </c>
    </row>
    <row r="49" spans="1:88" x14ac:dyDescent="0.25">
      <c r="A49" s="83" t="s">
        <v>822</v>
      </c>
      <c r="B49" s="212">
        <v>-200</v>
      </c>
      <c r="C49" s="244">
        <v>-200</v>
      </c>
      <c r="D49" s="244">
        <v>-200</v>
      </c>
      <c r="E49" s="244">
        <v>-200</v>
      </c>
      <c r="F49" s="244">
        <v>-200</v>
      </c>
      <c r="G49" s="244">
        <v>-200</v>
      </c>
      <c r="H49" s="244">
        <v>-200</v>
      </c>
      <c r="I49" s="244">
        <v>-200</v>
      </c>
      <c r="J49" s="244">
        <v>-200</v>
      </c>
      <c r="K49" s="244">
        <v>-200</v>
      </c>
      <c r="L49" s="244">
        <v>-200</v>
      </c>
      <c r="M49" s="244">
        <v>-200</v>
      </c>
      <c r="N49" s="239">
        <f t="shared" si="15"/>
        <v>-2400</v>
      </c>
    </row>
    <row r="50" spans="1:88" x14ac:dyDescent="0.25">
      <c r="A50" s="83" t="s">
        <v>823</v>
      </c>
      <c r="B50" s="212">
        <v>-200</v>
      </c>
      <c r="C50" s="244">
        <v>-200</v>
      </c>
      <c r="D50" s="244">
        <v>-200</v>
      </c>
      <c r="E50" s="244">
        <v>-200</v>
      </c>
      <c r="F50" s="244">
        <v>-200</v>
      </c>
      <c r="G50" s="244">
        <v>-200</v>
      </c>
      <c r="H50" s="244">
        <v>-200</v>
      </c>
      <c r="I50" s="244">
        <v>-200</v>
      </c>
      <c r="J50" s="244">
        <v>-200</v>
      </c>
      <c r="K50" s="244">
        <v>-200</v>
      </c>
      <c r="L50" s="244">
        <v>-200</v>
      </c>
      <c r="M50" s="244">
        <v>-200</v>
      </c>
      <c r="N50" s="239">
        <f t="shared" si="15"/>
        <v>-2400</v>
      </c>
    </row>
    <row r="51" spans="1:88" x14ac:dyDescent="0.25">
      <c r="A51" s="231" t="s">
        <v>824</v>
      </c>
      <c r="B51" s="212">
        <v>-50</v>
      </c>
      <c r="C51" s="244">
        <v>-50</v>
      </c>
      <c r="D51" s="244">
        <v>-50</v>
      </c>
      <c r="E51" s="244">
        <v>-50</v>
      </c>
      <c r="F51" s="244">
        <v>-50</v>
      </c>
      <c r="G51" s="244">
        <v>-50</v>
      </c>
      <c r="H51" s="244">
        <v>-50</v>
      </c>
      <c r="I51" s="244">
        <v>-50</v>
      </c>
      <c r="J51" s="244">
        <v>-50</v>
      </c>
      <c r="K51" s="244">
        <v>-50</v>
      </c>
      <c r="L51" s="244">
        <v>-50</v>
      </c>
      <c r="M51" s="244">
        <v>-50</v>
      </c>
      <c r="N51" s="239">
        <f t="shared" si="15"/>
        <v>-600</v>
      </c>
    </row>
    <row r="52" spans="1:88" x14ac:dyDescent="0.25">
      <c r="A52" s="83" t="s">
        <v>833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36">
        <f t="shared" si="15"/>
        <v>0</v>
      </c>
    </row>
    <row r="53" spans="1:88" s="224" customFormat="1" x14ac:dyDescent="0.25">
      <c r="A53" s="231"/>
      <c r="B53" s="22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36">
        <f t="shared" si="15"/>
        <v>0</v>
      </c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  <c r="AP53" s="257"/>
      <c r="AQ53" s="257"/>
      <c r="AR53" s="257"/>
      <c r="AS53" s="257"/>
      <c r="AT53" s="257"/>
      <c r="AU53" s="257"/>
      <c r="AV53" s="257"/>
      <c r="AW53" s="257"/>
      <c r="AX53" s="257"/>
      <c r="AY53" s="257"/>
      <c r="AZ53" s="257"/>
      <c r="BA53" s="257"/>
      <c r="BB53" s="257"/>
      <c r="BC53" s="257"/>
      <c r="BD53" s="257"/>
      <c r="BE53" s="257"/>
      <c r="BF53" s="257"/>
      <c r="BG53" s="257"/>
      <c r="BH53" s="257"/>
      <c r="BI53" s="257"/>
      <c r="BJ53" s="257"/>
      <c r="BK53" s="257"/>
      <c r="BL53" s="257"/>
      <c r="BM53" s="257"/>
      <c r="BN53" s="257"/>
      <c r="BO53" s="257"/>
      <c r="BP53" s="257"/>
      <c r="BQ53" s="257"/>
      <c r="BR53" s="257"/>
      <c r="BS53" s="257"/>
      <c r="BT53" s="257"/>
      <c r="BU53" s="257"/>
      <c r="BV53" s="257"/>
      <c r="BW53" s="257"/>
      <c r="BX53" s="257"/>
      <c r="BY53" s="257"/>
      <c r="BZ53" s="257"/>
      <c r="CA53" s="257"/>
      <c r="CB53" s="257"/>
      <c r="CC53" s="257"/>
      <c r="CD53" s="257"/>
      <c r="CE53" s="257"/>
      <c r="CF53" s="257"/>
      <c r="CG53" s="257"/>
      <c r="CH53" s="257"/>
      <c r="CI53" s="257"/>
      <c r="CJ53" s="257"/>
    </row>
    <row r="54" spans="1:88" s="224" customFormat="1" collapsed="1" x14ac:dyDescent="0.25">
      <c r="A54" s="261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36">
        <f t="shared" si="15"/>
        <v>0</v>
      </c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  <c r="AP54" s="257"/>
      <c r="AQ54" s="257"/>
      <c r="AR54" s="257"/>
      <c r="AS54" s="257"/>
      <c r="AT54" s="257"/>
      <c r="AU54" s="257"/>
      <c r="AV54" s="257"/>
      <c r="AW54" s="257"/>
      <c r="AX54" s="257"/>
      <c r="AY54" s="257"/>
      <c r="AZ54" s="257"/>
      <c r="BA54" s="257"/>
      <c r="BB54" s="257"/>
      <c r="BC54" s="257"/>
      <c r="BD54" s="257"/>
      <c r="BE54" s="257"/>
      <c r="BF54" s="257"/>
      <c r="BG54" s="257"/>
      <c r="BH54" s="257"/>
      <c r="BI54" s="257"/>
      <c r="BJ54" s="257"/>
      <c r="BK54" s="257"/>
      <c r="BL54" s="257"/>
      <c r="BM54" s="257"/>
      <c r="BN54" s="257"/>
      <c r="BO54" s="257"/>
      <c r="BP54" s="257"/>
      <c r="BQ54" s="257"/>
      <c r="BR54" s="257"/>
      <c r="BS54" s="257"/>
      <c r="BT54" s="257"/>
      <c r="BU54" s="257"/>
      <c r="BV54" s="257"/>
      <c r="BW54" s="257"/>
      <c r="BX54" s="257"/>
      <c r="BY54" s="257"/>
      <c r="BZ54" s="257"/>
      <c r="CA54" s="257"/>
      <c r="CB54" s="257"/>
      <c r="CC54" s="257"/>
      <c r="CD54" s="257"/>
      <c r="CE54" s="257"/>
      <c r="CF54" s="257"/>
      <c r="CG54" s="257"/>
      <c r="CH54" s="257"/>
      <c r="CI54" s="257"/>
      <c r="CJ54" s="257"/>
    </row>
    <row r="55" spans="1:88" s="224" customFormat="1" x14ac:dyDescent="0.25">
      <c r="A55" s="261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36">
        <f t="shared" si="15"/>
        <v>0</v>
      </c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7"/>
      <c r="AP55" s="257"/>
      <c r="AQ55" s="257"/>
      <c r="AR55" s="257"/>
      <c r="AS55" s="257"/>
      <c r="AT55" s="257"/>
      <c r="AU55" s="257"/>
      <c r="AV55" s="257"/>
      <c r="AW55" s="257"/>
      <c r="AX55" s="257"/>
      <c r="AY55" s="257"/>
      <c r="AZ55" s="257"/>
      <c r="BA55" s="257"/>
      <c r="BB55" s="257"/>
      <c r="BC55" s="257"/>
      <c r="BD55" s="257"/>
      <c r="BE55" s="257"/>
      <c r="BF55" s="257"/>
      <c r="BG55" s="257"/>
      <c r="BH55" s="257"/>
      <c r="BI55" s="257"/>
      <c r="BJ55" s="257"/>
      <c r="BK55" s="257"/>
      <c r="BL55" s="257"/>
      <c r="BM55" s="257"/>
      <c r="BN55" s="257"/>
      <c r="BO55" s="257"/>
      <c r="BP55" s="257"/>
      <c r="BQ55" s="257"/>
      <c r="BR55" s="257"/>
      <c r="BS55" s="257"/>
      <c r="BT55" s="257"/>
      <c r="BU55" s="257"/>
      <c r="BV55" s="257"/>
      <c r="BW55" s="257"/>
      <c r="BX55" s="257"/>
      <c r="BY55" s="257"/>
      <c r="BZ55" s="257"/>
      <c r="CA55" s="257"/>
      <c r="CB55" s="257"/>
      <c r="CC55" s="257"/>
      <c r="CD55" s="257"/>
      <c r="CE55" s="257"/>
      <c r="CF55" s="257"/>
      <c r="CG55" s="257"/>
      <c r="CH55" s="257"/>
      <c r="CI55" s="257"/>
      <c r="CJ55" s="257"/>
    </row>
    <row r="56" spans="1:88" s="224" customFormat="1" x14ac:dyDescent="0.25">
      <c r="A56" s="231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36">
        <f t="shared" si="15"/>
        <v>0</v>
      </c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257"/>
      <c r="AN56" s="257"/>
      <c r="AO56" s="257"/>
      <c r="AP56" s="257"/>
      <c r="AQ56" s="257"/>
      <c r="AR56" s="257"/>
      <c r="AS56" s="257"/>
      <c r="AT56" s="257"/>
      <c r="AU56" s="257"/>
      <c r="AV56" s="257"/>
      <c r="AW56" s="257"/>
      <c r="AX56" s="257"/>
      <c r="AY56" s="257"/>
      <c r="AZ56" s="257"/>
      <c r="BA56" s="257"/>
      <c r="BB56" s="257"/>
      <c r="BC56" s="257"/>
      <c r="BD56" s="257"/>
      <c r="BE56" s="257"/>
      <c r="BF56" s="257"/>
      <c r="BG56" s="257"/>
      <c r="BH56" s="257"/>
      <c r="BI56" s="257"/>
      <c r="BJ56" s="257"/>
      <c r="BK56" s="257"/>
      <c r="BL56" s="257"/>
      <c r="BM56" s="257"/>
      <c r="BN56" s="257"/>
      <c r="BO56" s="257"/>
      <c r="BP56" s="257"/>
      <c r="BQ56" s="257"/>
      <c r="BR56" s="257"/>
      <c r="BS56" s="257"/>
      <c r="BT56" s="257"/>
      <c r="BU56" s="257"/>
      <c r="BV56" s="257"/>
      <c r="BW56" s="257"/>
      <c r="BX56" s="257"/>
      <c r="BY56" s="257"/>
      <c r="BZ56" s="257"/>
      <c r="CA56" s="257"/>
      <c r="CB56" s="257"/>
      <c r="CC56" s="257"/>
      <c r="CD56" s="257"/>
      <c r="CE56" s="257"/>
      <c r="CF56" s="257"/>
      <c r="CG56" s="257"/>
      <c r="CH56" s="257"/>
      <c r="CI56" s="257"/>
      <c r="CJ56" s="257"/>
    </row>
    <row r="57" spans="1:88" s="139" customFormat="1" ht="15.75" collapsed="1" thickBot="1" x14ac:dyDescent="0.3">
      <c r="A57" s="230" t="s">
        <v>836</v>
      </c>
      <c r="B57" s="214">
        <f t="shared" ref="B57:M57" si="16">SUM(B43:B56)</f>
        <v>-620</v>
      </c>
      <c r="C57" s="214">
        <f t="shared" si="16"/>
        <v>-620</v>
      </c>
      <c r="D57" s="214">
        <f t="shared" si="16"/>
        <v>-620</v>
      </c>
      <c r="E57" s="214">
        <f t="shared" si="16"/>
        <v>-620</v>
      </c>
      <c r="F57" s="214">
        <f t="shared" si="16"/>
        <v>-620</v>
      </c>
      <c r="G57" s="214">
        <f t="shared" si="16"/>
        <v>-620</v>
      </c>
      <c r="H57" s="214">
        <f t="shared" si="16"/>
        <v>-620</v>
      </c>
      <c r="I57" s="214">
        <f t="shared" si="16"/>
        <v>-620</v>
      </c>
      <c r="J57" s="214">
        <f t="shared" si="16"/>
        <v>-620</v>
      </c>
      <c r="K57" s="214">
        <f t="shared" si="16"/>
        <v>-620</v>
      </c>
      <c r="L57" s="214">
        <f t="shared" si="16"/>
        <v>-620</v>
      </c>
      <c r="M57" s="214">
        <f t="shared" si="16"/>
        <v>-620</v>
      </c>
      <c r="N57" s="241">
        <f>SUM(N44:N56)</f>
        <v>-7440</v>
      </c>
      <c r="O57" s="256"/>
      <c r="P57" s="266">
        <f>SUM(B57:M57)</f>
        <v>-7440</v>
      </c>
      <c r="Q57" s="257" t="s">
        <v>832</v>
      </c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  <c r="CC57" s="256"/>
      <c r="CD57" s="256"/>
      <c r="CE57" s="256"/>
      <c r="CF57" s="256"/>
      <c r="CG57" s="256"/>
      <c r="CH57" s="256"/>
      <c r="CI57" s="256"/>
      <c r="CJ57" s="256"/>
    </row>
    <row r="60" spans="1:88" s="1" customFormat="1" ht="15.75" thickBot="1" x14ac:dyDescent="0.3">
      <c r="A60" s="267" t="s">
        <v>825</v>
      </c>
      <c r="B60" s="265">
        <f t="shared" ref="B60:N60" si="17">+B57+B40+B31</f>
        <v>-2410</v>
      </c>
      <c r="C60" s="265">
        <f t="shared" si="17"/>
        <v>-2410</v>
      </c>
      <c r="D60" s="265">
        <f t="shared" si="17"/>
        <v>-2410</v>
      </c>
      <c r="E60" s="265">
        <f t="shared" si="17"/>
        <v>-2410</v>
      </c>
      <c r="F60" s="265">
        <f t="shared" si="17"/>
        <v>-2410</v>
      </c>
      <c r="G60" s="265">
        <f t="shared" si="17"/>
        <v>-2410</v>
      </c>
      <c r="H60" s="265">
        <f t="shared" si="17"/>
        <v>-2410</v>
      </c>
      <c r="I60" s="265">
        <f t="shared" si="17"/>
        <v>-2410</v>
      </c>
      <c r="J60" s="265">
        <f t="shared" si="17"/>
        <v>-2410</v>
      </c>
      <c r="K60" s="265">
        <f t="shared" si="17"/>
        <v>-2410</v>
      </c>
      <c r="L60" s="265">
        <f t="shared" si="17"/>
        <v>-2410</v>
      </c>
      <c r="M60" s="265">
        <f t="shared" si="17"/>
        <v>-2410</v>
      </c>
      <c r="N60" s="265">
        <f t="shared" si="17"/>
        <v>-28920</v>
      </c>
      <c r="O60" s="258"/>
      <c r="P60" s="268">
        <f>SUM(B60:M60)</f>
        <v>-28920</v>
      </c>
      <c r="Q60" s="269" t="s">
        <v>832</v>
      </c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BQ60" s="258"/>
      <c r="BR60" s="258"/>
      <c r="BS60" s="258"/>
      <c r="BT60" s="258"/>
      <c r="BU60" s="258"/>
      <c r="BV60" s="258"/>
      <c r="BW60" s="258"/>
      <c r="BX60" s="258"/>
      <c r="BY60" s="258"/>
      <c r="BZ60" s="258"/>
      <c r="CA60" s="258"/>
      <c r="CB60" s="258"/>
      <c r="CC60" s="258"/>
      <c r="CD60" s="258"/>
      <c r="CE60" s="258"/>
      <c r="CF60" s="258"/>
      <c r="CG60" s="258"/>
      <c r="CH60" s="258"/>
      <c r="CI60" s="258"/>
      <c r="CJ60" s="258"/>
    </row>
    <row r="61" spans="1:88" ht="15.75" thickTop="1" x14ac:dyDescent="0.25"/>
    <row r="63" spans="1:88" x14ac:dyDescent="0.25">
      <c r="A63" s="83" t="s">
        <v>842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</row>
    <row r="64" spans="1:88" x14ac:dyDescent="0.25">
      <c r="A64" s="83" t="s">
        <v>839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</row>
    <row r="65" spans="1:14" x14ac:dyDescent="0.25">
      <c r="A65" s="83" t="s">
        <v>840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</row>
    <row r="66" spans="1:14" x14ac:dyDescent="0.25">
      <c r="A66" s="83" t="s">
        <v>841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76" spans="1:14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9" spans="1:14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119" spans="1:14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</sheetData>
  <phoneticPr fontId="35" type="noConversion"/>
  <pageMargins left="0.31496062992125984" right="0.31496062992125984" top="0.35433070866141736" bottom="0.35433070866141736" header="0.31496062992125984" footer="0.31496062992125984"/>
  <pageSetup paperSize="9" scale="49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5">
    <tabColor theme="1" tint="0.249977111117893"/>
    <pageSetUpPr fitToPage="1"/>
  </sheetPr>
  <dimension ref="A1:I58"/>
  <sheetViews>
    <sheetView topLeftCell="A23" zoomScale="80" zoomScaleNormal="80" workbookViewId="0">
      <selection activeCell="I42" sqref="I42"/>
    </sheetView>
  </sheetViews>
  <sheetFormatPr defaultRowHeight="15" x14ac:dyDescent="0.25"/>
  <cols>
    <col min="1" max="1" width="44" customWidth="1"/>
    <col min="2" max="2" width="9.5703125" customWidth="1"/>
    <col min="3" max="3" width="11.85546875" style="2" customWidth="1"/>
    <col min="4" max="4" width="13.140625" style="2" customWidth="1"/>
    <col min="5" max="6" width="11.85546875" style="2" customWidth="1"/>
    <col min="7" max="7" width="9.140625" style="3"/>
    <col min="8" max="8" width="49.5703125" bestFit="1" customWidth="1"/>
    <col min="9" max="9" width="59.28515625" bestFit="1" customWidth="1"/>
  </cols>
  <sheetData>
    <row r="1" spans="1:9" ht="18.75" x14ac:dyDescent="0.3">
      <c r="A1" s="46" t="s">
        <v>142</v>
      </c>
      <c r="C1" s="45" t="s">
        <v>68</v>
      </c>
    </row>
    <row r="2" spans="1:9" x14ac:dyDescent="0.25">
      <c r="A2" s="37" t="s">
        <v>575</v>
      </c>
    </row>
    <row r="3" spans="1:9" x14ac:dyDescent="0.25">
      <c r="A3" s="37"/>
    </row>
    <row r="4" spans="1:9" ht="30" x14ac:dyDescent="0.25">
      <c r="A4" s="38" t="s">
        <v>576</v>
      </c>
      <c r="B4" s="44" t="s">
        <v>145</v>
      </c>
      <c r="C4" s="39">
        <v>101439.47</v>
      </c>
      <c r="D4" s="39">
        <v>101439.47</v>
      </c>
      <c r="E4" s="39">
        <v>101439.47</v>
      </c>
      <c r="F4" s="39">
        <v>101439.47</v>
      </c>
    </row>
    <row r="6" spans="1:9" x14ac:dyDescent="0.25">
      <c r="A6" s="1" t="s">
        <v>146</v>
      </c>
      <c r="B6" s="1"/>
      <c r="C6" s="4" t="s">
        <v>108</v>
      </c>
      <c r="D6" s="4" t="s">
        <v>109</v>
      </c>
      <c r="E6" s="4" t="s">
        <v>147</v>
      </c>
      <c r="F6" s="4" t="s">
        <v>148</v>
      </c>
      <c r="G6" s="5" t="s">
        <v>149</v>
      </c>
      <c r="H6" s="1" t="s">
        <v>150</v>
      </c>
      <c r="I6" s="79" t="s">
        <v>151</v>
      </c>
    </row>
    <row r="7" spans="1:9" x14ac:dyDescent="0.25">
      <c r="C7" s="6"/>
      <c r="D7" s="6"/>
      <c r="E7" s="6"/>
      <c r="F7" s="6"/>
    </row>
    <row r="8" spans="1:9" x14ac:dyDescent="0.25">
      <c r="A8" s="1" t="s">
        <v>56</v>
      </c>
      <c r="B8" s="1"/>
    </row>
    <row r="9" spans="1:9" x14ac:dyDescent="0.25">
      <c r="A9" s="40" t="s">
        <v>577</v>
      </c>
      <c r="B9" s="1"/>
      <c r="C9" s="2">
        <v>1000</v>
      </c>
      <c r="D9" s="2">
        <f>C9</f>
        <v>1000</v>
      </c>
      <c r="E9" s="2">
        <f>D9</f>
        <v>1000</v>
      </c>
      <c r="F9" s="2">
        <f>E9</f>
        <v>1000</v>
      </c>
      <c r="H9" t="s">
        <v>578</v>
      </c>
    </row>
    <row r="10" spans="1:9" x14ac:dyDescent="0.25">
      <c r="C10" s="6"/>
      <c r="D10" s="6"/>
      <c r="E10" s="6"/>
      <c r="F10" s="6"/>
    </row>
    <row r="11" spans="1:9" x14ac:dyDescent="0.25">
      <c r="A11" s="1" t="s">
        <v>57</v>
      </c>
      <c r="B11" s="1"/>
      <c r="C11" s="6"/>
      <c r="D11" s="6"/>
      <c r="E11" s="6"/>
      <c r="F11" s="6"/>
    </row>
    <row r="12" spans="1:9" ht="17.25" customHeight="1" x14ac:dyDescent="0.25">
      <c r="A12" s="40" t="s">
        <v>579</v>
      </c>
      <c r="B12" t="s">
        <v>18</v>
      </c>
      <c r="C12" s="6">
        <v>50000</v>
      </c>
      <c r="D12" s="6">
        <v>50000</v>
      </c>
      <c r="E12" s="6">
        <v>50000</v>
      </c>
      <c r="F12" s="6">
        <f>50000</f>
        <v>50000</v>
      </c>
      <c r="G12" s="3" t="s">
        <v>547</v>
      </c>
      <c r="H12" t="s">
        <v>580</v>
      </c>
    </row>
    <row r="13" spans="1:9" x14ac:dyDescent="0.25">
      <c r="A13" s="25" t="s">
        <v>424</v>
      </c>
      <c r="B13" t="s">
        <v>54</v>
      </c>
      <c r="C13" s="6">
        <v>0</v>
      </c>
      <c r="D13" s="6"/>
      <c r="E13" s="6"/>
      <c r="F13" s="6"/>
      <c r="G13" s="3" t="s">
        <v>207</v>
      </c>
      <c r="H13" t="s">
        <v>581</v>
      </c>
      <c r="I13" s="82"/>
    </row>
    <row r="14" spans="1:9" ht="17.25" customHeight="1" x14ac:dyDescent="0.25">
      <c r="C14" s="6"/>
      <c r="D14" s="6"/>
      <c r="E14" s="6"/>
      <c r="F14" s="6"/>
    </row>
    <row r="15" spans="1:9" x14ac:dyDescent="0.25">
      <c r="A15" s="1" t="s">
        <v>58</v>
      </c>
      <c r="B15" s="1"/>
    </row>
    <row r="16" spans="1:9" x14ac:dyDescent="0.25">
      <c r="A16" s="40" t="s">
        <v>228</v>
      </c>
      <c r="B16" s="33" t="s">
        <v>17</v>
      </c>
      <c r="C16" s="6">
        <v>28907</v>
      </c>
      <c r="D16" s="2">
        <f>C16</f>
        <v>28907</v>
      </c>
      <c r="E16" s="6">
        <v>28907</v>
      </c>
      <c r="F16" s="6">
        <v>28907</v>
      </c>
      <c r="G16" s="3" t="s">
        <v>229</v>
      </c>
      <c r="H16" t="s">
        <v>582</v>
      </c>
    </row>
    <row r="17" spans="1:9" x14ac:dyDescent="0.25">
      <c r="A17" s="47" t="s">
        <v>583</v>
      </c>
      <c r="B17" t="s">
        <v>18</v>
      </c>
      <c r="C17" s="6">
        <v>75000</v>
      </c>
      <c r="D17" s="6">
        <v>75000</v>
      </c>
      <c r="E17" s="6">
        <v>75000</v>
      </c>
      <c r="F17" s="6">
        <v>75000</v>
      </c>
      <c r="G17" s="3" t="s">
        <v>584</v>
      </c>
      <c r="H17" t="s">
        <v>585</v>
      </c>
    </row>
    <row r="18" spans="1:9" x14ac:dyDescent="0.25">
      <c r="A18" s="75" t="s">
        <v>586</v>
      </c>
      <c r="B18" s="33" t="s">
        <v>17</v>
      </c>
      <c r="C18" s="6">
        <v>6000</v>
      </c>
      <c r="D18" s="6">
        <v>6000</v>
      </c>
      <c r="E18" s="6">
        <v>6000</v>
      </c>
      <c r="F18" s="6">
        <v>6000</v>
      </c>
      <c r="G18" s="3" t="s">
        <v>547</v>
      </c>
      <c r="H18" t="s">
        <v>587</v>
      </c>
    </row>
    <row r="19" spans="1:9" x14ac:dyDescent="0.25">
      <c r="D19" s="6"/>
      <c r="E19" s="6"/>
      <c r="F19" s="6"/>
    </row>
    <row r="20" spans="1:9" x14ac:dyDescent="0.25">
      <c r="A20" s="1" t="s">
        <v>157</v>
      </c>
      <c r="B20" s="1"/>
      <c r="C20" s="6"/>
      <c r="D20" s="6"/>
      <c r="E20" s="6"/>
      <c r="F20" s="6"/>
    </row>
    <row r="21" spans="1:9" x14ac:dyDescent="0.25">
      <c r="A21" s="22" t="s">
        <v>364</v>
      </c>
      <c r="B21" s="33" t="s">
        <v>17</v>
      </c>
      <c r="C21" s="6">
        <v>0</v>
      </c>
      <c r="D21" s="6">
        <v>0</v>
      </c>
      <c r="E21" s="6"/>
      <c r="F21" s="6"/>
      <c r="G21" s="3" t="s">
        <v>516</v>
      </c>
      <c r="H21" t="s">
        <v>588</v>
      </c>
      <c r="I21" s="82" t="s">
        <v>589</v>
      </c>
    </row>
    <row r="22" spans="1:9" x14ac:dyDescent="0.25">
      <c r="A22" s="40" t="s">
        <v>590</v>
      </c>
      <c r="B22" s="33" t="s">
        <v>17</v>
      </c>
      <c r="C22" s="6">
        <v>0</v>
      </c>
      <c r="D22" s="6">
        <v>0</v>
      </c>
      <c r="E22" s="6">
        <v>0</v>
      </c>
      <c r="F22" s="6"/>
      <c r="G22" s="3" t="s">
        <v>159</v>
      </c>
      <c r="H22" s="13" t="s">
        <v>591</v>
      </c>
    </row>
    <row r="23" spans="1:9" x14ac:dyDescent="0.25">
      <c r="A23" s="40" t="s">
        <v>321</v>
      </c>
      <c r="B23" s="33" t="s">
        <v>55</v>
      </c>
      <c r="C23" s="6">
        <v>0</v>
      </c>
      <c r="D23" s="6">
        <v>0</v>
      </c>
      <c r="E23" s="6"/>
      <c r="F23" s="6"/>
      <c r="G23" s="3" t="s">
        <v>553</v>
      </c>
      <c r="H23" t="s">
        <v>592</v>
      </c>
      <c r="I23" s="82" t="s">
        <v>589</v>
      </c>
    </row>
    <row r="24" spans="1:9" x14ac:dyDescent="0.25">
      <c r="A24" s="22" t="s">
        <v>555</v>
      </c>
      <c r="B24" s="33" t="s">
        <v>18</v>
      </c>
      <c r="C24" s="6">
        <v>0</v>
      </c>
      <c r="D24" s="6">
        <v>0</v>
      </c>
      <c r="E24" s="6"/>
      <c r="F24" s="6"/>
      <c r="G24" s="3" t="s">
        <v>204</v>
      </c>
      <c r="H24" t="s">
        <v>593</v>
      </c>
      <c r="I24" s="82" t="s">
        <v>589</v>
      </c>
    </row>
    <row r="26" spans="1:9" x14ac:dyDescent="0.25">
      <c r="B26" s="33"/>
      <c r="C26" s="6"/>
      <c r="D26" s="6"/>
      <c r="E26" s="6"/>
      <c r="F26" s="6"/>
    </row>
    <row r="27" spans="1:9" x14ac:dyDescent="0.25">
      <c r="A27" s="1" t="s">
        <v>133</v>
      </c>
      <c r="B27" s="33"/>
      <c r="C27" s="6"/>
      <c r="D27" s="6"/>
      <c r="E27" s="6"/>
      <c r="F27" s="6"/>
    </row>
    <row r="28" spans="1:9" x14ac:dyDescent="0.25">
      <c r="A28" t="s">
        <v>594</v>
      </c>
      <c r="B28" s="33" t="s">
        <v>18</v>
      </c>
      <c r="C28" s="6">
        <v>236.25</v>
      </c>
      <c r="D28" s="6">
        <f t="shared" ref="D28:F32" si="0">C28</f>
        <v>236.25</v>
      </c>
      <c r="E28" s="6">
        <f t="shared" si="0"/>
        <v>236.25</v>
      </c>
      <c r="F28" s="6">
        <f t="shared" si="0"/>
        <v>236.25</v>
      </c>
    </row>
    <row r="29" spans="1:9" x14ac:dyDescent="0.25">
      <c r="A29" t="s">
        <v>523</v>
      </c>
      <c r="B29" s="33" t="s">
        <v>18</v>
      </c>
      <c r="C29" s="6">
        <v>5</v>
      </c>
      <c r="D29" s="6">
        <f>C29</f>
        <v>5</v>
      </c>
      <c r="E29" s="6">
        <f>D29</f>
        <v>5</v>
      </c>
      <c r="F29" s="6">
        <f>E29</f>
        <v>5</v>
      </c>
    </row>
    <row r="30" spans="1:9" x14ac:dyDescent="0.25">
      <c r="A30" t="s">
        <v>595</v>
      </c>
      <c r="B30" s="33" t="s">
        <v>18</v>
      </c>
      <c r="C30" s="6">
        <v>25</v>
      </c>
      <c r="D30" s="6">
        <f t="shared" si="0"/>
        <v>25</v>
      </c>
      <c r="E30" s="6">
        <f t="shared" si="0"/>
        <v>25</v>
      </c>
      <c r="F30" s="6">
        <f t="shared" si="0"/>
        <v>25</v>
      </c>
    </row>
    <row r="31" spans="1:9" x14ac:dyDescent="0.25">
      <c r="A31" t="s">
        <v>596</v>
      </c>
      <c r="B31" s="33" t="s">
        <v>18</v>
      </c>
      <c r="C31" s="6">
        <f>354.37+166.42</f>
        <v>520.79</v>
      </c>
      <c r="D31" s="6">
        <f t="shared" si="0"/>
        <v>520.79</v>
      </c>
      <c r="E31" s="6">
        <f t="shared" si="0"/>
        <v>520.79</v>
      </c>
      <c r="F31" s="6">
        <f t="shared" si="0"/>
        <v>520.79</v>
      </c>
    </row>
    <row r="32" spans="1:9" x14ac:dyDescent="0.25">
      <c r="A32" t="s">
        <v>597</v>
      </c>
      <c r="B32" s="33" t="s">
        <v>18</v>
      </c>
      <c r="C32" s="6">
        <v>108</v>
      </c>
      <c r="D32" s="6">
        <f t="shared" si="0"/>
        <v>108</v>
      </c>
      <c r="E32" s="6">
        <f t="shared" si="0"/>
        <v>108</v>
      </c>
      <c r="F32" s="6">
        <f t="shared" si="0"/>
        <v>108</v>
      </c>
      <c r="H32" t="s">
        <v>598</v>
      </c>
    </row>
    <row r="33" spans="1:9" x14ac:dyDescent="0.25">
      <c r="A33" t="s">
        <v>599</v>
      </c>
      <c r="B33" s="33" t="s">
        <v>600</v>
      </c>
      <c r="C33" s="6">
        <v>1400</v>
      </c>
      <c r="D33" s="6">
        <v>1400</v>
      </c>
      <c r="E33" s="6">
        <v>1400</v>
      </c>
      <c r="F33" s="6">
        <v>1400</v>
      </c>
      <c r="H33" t="s">
        <v>601</v>
      </c>
    </row>
    <row r="34" spans="1:9" x14ac:dyDescent="0.25">
      <c r="A34" s="33"/>
      <c r="B34" s="33"/>
      <c r="C34" s="6"/>
      <c r="D34" s="6"/>
      <c r="E34" s="6"/>
      <c r="F34" s="6"/>
    </row>
    <row r="35" spans="1:9" x14ac:dyDescent="0.25">
      <c r="A35" s="1" t="s">
        <v>168</v>
      </c>
      <c r="B35" s="1"/>
      <c r="C35" s="7">
        <f>SUM(C7:C34)</f>
        <v>163202.04</v>
      </c>
      <c r="D35" s="7">
        <f>SUM(D7:D34)</f>
        <v>163202.04</v>
      </c>
      <c r="E35" s="7">
        <f>SUM(E7:E34)</f>
        <v>163202.04</v>
      </c>
      <c r="F35" s="7">
        <f>SUM(F7:F34)</f>
        <v>163202.04</v>
      </c>
    </row>
    <row r="36" spans="1:9" x14ac:dyDescent="0.25">
      <c r="C36" s="6"/>
      <c r="D36" s="6"/>
      <c r="E36" s="6"/>
      <c r="F36" s="6"/>
    </row>
    <row r="37" spans="1:9" x14ac:dyDescent="0.25">
      <c r="A37" s="8"/>
      <c r="B37" s="8"/>
      <c r="C37" s="17"/>
      <c r="D37" s="17"/>
      <c r="E37" s="18"/>
      <c r="F37" s="18"/>
      <c r="G37" s="19"/>
      <c r="H37" s="8"/>
    </row>
    <row r="38" spans="1:9" x14ac:dyDescent="0.25">
      <c r="A38" s="1" t="s">
        <v>169</v>
      </c>
      <c r="B38" s="1"/>
      <c r="C38" s="6"/>
      <c r="D38" s="6"/>
      <c r="E38" s="7"/>
      <c r="F38" s="7"/>
    </row>
    <row r="39" spans="1:9" x14ac:dyDescent="0.25">
      <c r="A39" t="s">
        <v>602</v>
      </c>
      <c r="C39" s="6">
        <v>-1554</v>
      </c>
      <c r="D39" s="6">
        <f>C39</f>
        <v>-1554</v>
      </c>
      <c r="E39" s="6">
        <f>C39</f>
        <v>-1554</v>
      </c>
      <c r="F39" s="6">
        <f>C39</f>
        <v>-1554</v>
      </c>
      <c r="H39" t="s">
        <v>215</v>
      </c>
    </row>
    <row r="40" spans="1:9" x14ac:dyDescent="0.25">
      <c r="A40" t="s">
        <v>603</v>
      </c>
      <c r="C40" s="6">
        <v>-24896.16</v>
      </c>
      <c r="D40" s="6">
        <f>C40</f>
        <v>-24896.16</v>
      </c>
      <c r="E40" s="6">
        <f>C40</f>
        <v>-24896.16</v>
      </c>
      <c r="F40" s="6">
        <f>C40</f>
        <v>-24896.16</v>
      </c>
      <c r="H40" t="s">
        <v>215</v>
      </c>
    </row>
    <row r="41" spans="1:9" x14ac:dyDescent="0.25">
      <c r="A41" t="s">
        <v>604</v>
      </c>
      <c r="C41" s="6">
        <v>0</v>
      </c>
      <c r="D41" s="6">
        <f>C41</f>
        <v>0</v>
      </c>
      <c r="E41" s="6">
        <f>C41</f>
        <v>0</v>
      </c>
      <c r="F41" s="6">
        <f>C41</f>
        <v>0</v>
      </c>
    </row>
    <row r="42" spans="1:9" x14ac:dyDescent="0.25">
      <c r="A42" t="s">
        <v>605</v>
      </c>
      <c r="C42" s="6">
        <v>-123419.38</v>
      </c>
      <c r="D42" s="6">
        <f>C42</f>
        <v>-123419.38</v>
      </c>
      <c r="E42" s="6">
        <f>C42</f>
        <v>-123419.38</v>
      </c>
      <c r="F42" s="6">
        <f>C42</f>
        <v>-123419.38</v>
      </c>
      <c r="H42" t="s">
        <v>606</v>
      </c>
    </row>
    <row r="43" spans="1:9" x14ac:dyDescent="0.25">
      <c r="A43" s="1" t="s">
        <v>183</v>
      </c>
      <c r="B43" s="1"/>
      <c r="C43" s="7">
        <f>SUM(C39:C42)</f>
        <v>-149869.54</v>
      </c>
      <c r="D43" s="7">
        <f>SUM(D39:D42)</f>
        <v>-149869.54</v>
      </c>
      <c r="E43" s="7">
        <f>SUM(E39:E42)</f>
        <v>-149869.54</v>
      </c>
      <c r="F43" s="7">
        <f>C43</f>
        <v>-149869.54</v>
      </c>
    </row>
    <row r="44" spans="1:9" x14ac:dyDescent="0.25">
      <c r="A44" s="1"/>
      <c r="B44" s="1"/>
      <c r="C44" s="7"/>
      <c r="D44" s="7"/>
      <c r="E44" s="7"/>
      <c r="F44" s="7"/>
    </row>
    <row r="45" spans="1:9" x14ac:dyDescent="0.25">
      <c r="A45" s="42" t="s">
        <v>184</v>
      </c>
      <c r="B45" s="42"/>
      <c r="C45" s="43">
        <f>C35+C43</f>
        <v>13332.5</v>
      </c>
      <c r="D45" s="43">
        <f>D35+D43</f>
        <v>13332.5</v>
      </c>
      <c r="E45" s="43">
        <f>E35+E43</f>
        <v>13332.5</v>
      </c>
      <c r="F45" s="43">
        <f>F35+F43</f>
        <v>13332.5</v>
      </c>
    </row>
    <row r="47" spans="1:9" x14ac:dyDescent="0.25">
      <c r="A47" s="11" t="s">
        <v>607</v>
      </c>
      <c r="B47" s="11"/>
      <c r="C47" s="10">
        <f>C4+C35+C43</f>
        <v>114771.97</v>
      </c>
      <c r="D47" s="10">
        <f>D4+D35+D43</f>
        <v>114771.97</v>
      </c>
      <c r="E47" s="10">
        <f>E4+E35+E43</f>
        <v>114771.97</v>
      </c>
      <c r="F47" s="10">
        <f>F4+F35+F43</f>
        <v>114771.97</v>
      </c>
      <c r="I47" s="20"/>
    </row>
    <row r="49" spans="1:9" s="2" customFormat="1" ht="15.75" thickBot="1" x14ac:dyDescent="0.3">
      <c r="A49"/>
      <c r="B49"/>
      <c r="G49" s="3"/>
      <c r="H49"/>
      <c r="I49"/>
    </row>
    <row r="50" spans="1:9" s="2" customFormat="1" ht="15.75" thickBot="1" x14ac:dyDescent="0.3">
      <c r="A50" s="24" t="s">
        <v>570</v>
      </c>
      <c r="B50" s="24"/>
      <c r="C50" s="24"/>
      <c r="G50" s="3"/>
      <c r="H50"/>
      <c r="I50"/>
    </row>
    <row r="51" spans="1:9" s="2" customFormat="1" x14ac:dyDescent="0.25">
      <c r="A51" t="s">
        <v>571</v>
      </c>
      <c r="B51"/>
      <c r="G51" s="3"/>
      <c r="H51"/>
      <c r="I51"/>
    </row>
    <row r="52" spans="1:9" s="2" customFormat="1" x14ac:dyDescent="0.25">
      <c r="A52" t="s">
        <v>572</v>
      </c>
      <c r="B52"/>
      <c r="G52" s="3"/>
      <c r="H52"/>
      <c r="I52"/>
    </row>
    <row r="53" spans="1:9" s="2" customFormat="1" x14ac:dyDescent="0.25">
      <c r="A53" t="s">
        <v>573</v>
      </c>
      <c r="B53"/>
      <c r="G53" s="3"/>
      <c r="H53"/>
      <c r="I53"/>
    </row>
    <row r="54" spans="1:9" s="2" customFormat="1" x14ac:dyDescent="0.25">
      <c r="A54" t="s">
        <v>574</v>
      </c>
      <c r="B54"/>
      <c r="G54" s="3"/>
      <c r="H54"/>
      <c r="I54"/>
    </row>
    <row r="55" spans="1:9" s="2" customFormat="1" x14ac:dyDescent="0.25">
      <c r="A55" s="25" t="s">
        <v>191</v>
      </c>
      <c r="B55"/>
      <c r="G55" s="3"/>
      <c r="H55"/>
      <c r="I55"/>
    </row>
    <row r="56" spans="1:9" s="2" customFormat="1" x14ac:dyDescent="0.25">
      <c r="A56" s="22" t="s">
        <v>192</v>
      </c>
      <c r="B56"/>
      <c r="G56" s="3"/>
      <c r="H56"/>
      <c r="I56"/>
    </row>
    <row r="57" spans="1:9" s="2" customFormat="1" x14ac:dyDescent="0.25">
      <c r="A57" s="21" t="s">
        <v>193</v>
      </c>
      <c r="B57"/>
      <c r="G57" s="3"/>
      <c r="H57"/>
      <c r="I57"/>
    </row>
    <row r="58" spans="1:9" s="2" customFormat="1" x14ac:dyDescent="0.25">
      <c r="A58"/>
      <c r="B58" s="1"/>
      <c r="C58" s="1"/>
      <c r="G58" s="3"/>
      <c r="H58"/>
      <c r="I58"/>
    </row>
  </sheetData>
  <pageMargins left="0.7" right="0.7" top="0.75" bottom="0.75" header="0.3" footer="0.3"/>
  <pageSetup paperSize="9" scale="58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6">
    <tabColor theme="1" tint="0.249977111117893"/>
    <pageSetUpPr fitToPage="1"/>
  </sheetPr>
  <dimension ref="A1:I48"/>
  <sheetViews>
    <sheetView topLeftCell="A16" zoomScale="80" zoomScaleNormal="80" workbookViewId="0">
      <selection activeCell="I42" sqref="I42"/>
    </sheetView>
  </sheetViews>
  <sheetFormatPr defaultRowHeight="15" x14ac:dyDescent="0.25"/>
  <cols>
    <col min="1" max="1" width="44" customWidth="1"/>
    <col min="2" max="2" width="9.5703125" customWidth="1"/>
    <col min="3" max="3" width="11.85546875" style="2" customWidth="1"/>
    <col min="4" max="4" width="13.140625" style="2" customWidth="1"/>
    <col min="5" max="6" width="11.85546875" style="2" customWidth="1"/>
    <col min="7" max="7" width="9.140625" style="3"/>
    <col min="8" max="8" width="44.140625" bestFit="1" customWidth="1"/>
    <col min="9" max="9" width="56.42578125" bestFit="1" customWidth="1"/>
  </cols>
  <sheetData>
    <row r="1" spans="1:9" ht="18.75" x14ac:dyDescent="0.3">
      <c r="A1" s="46" t="s">
        <v>142</v>
      </c>
      <c r="C1" s="45" t="s">
        <v>67</v>
      </c>
    </row>
    <row r="2" spans="1:9" x14ac:dyDescent="0.25">
      <c r="A2" s="37" t="s">
        <v>608</v>
      </c>
    </row>
    <row r="3" spans="1:9" x14ac:dyDescent="0.25">
      <c r="A3" s="37"/>
    </row>
    <row r="4" spans="1:9" ht="30" x14ac:dyDescent="0.25">
      <c r="A4" s="38" t="s">
        <v>609</v>
      </c>
      <c r="B4" s="44" t="s">
        <v>145</v>
      </c>
      <c r="C4" s="39">
        <v>200154.55</v>
      </c>
      <c r="D4" s="39">
        <v>200154.55</v>
      </c>
      <c r="E4" s="39">
        <v>200154.55</v>
      </c>
      <c r="F4" s="39">
        <v>200154.55</v>
      </c>
    </row>
    <row r="6" spans="1:9" x14ac:dyDescent="0.25">
      <c r="A6" s="1" t="s">
        <v>146</v>
      </c>
      <c r="B6" s="1"/>
      <c r="C6" s="4" t="s">
        <v>108</v>
      </c>
      <c r="D6" s="4" t="s">
        <v>109</v>
      </c>
      <c r="E6" s="4" t="s">
        <v>147</v>
      </c>
      <c r="F6" s="4" t="s">
        <v>148</v>
      </c>
      <c r="G6" s="5" t="s">
        <v>149</v>
      </c>
      <c r="H6" s="1" t="s">
        <v>150</v>
      </c>
      <c r="I6" s="79" t="s">
        <v>151</v>
      </c>
    </row>
    <row r="7" spans="1:9" x14ac:dyDescent="0.25">
      <c r="C7" s="6"/>
      <c r="D7" s="6"/>
      <c r="E7" s="6"/>
      <c r="F7" s="6"/>
    </row>
    <row r="8" spans="1:9" x14ac:dyDescent="0.25">
      <c r="A8" s="1" t="s">
        <v>56</v>
      </c>
      <c r="B8" s="1"/>
    </row>
    <row r="10" spans="1:9" x14ac:dyDescent="0.25">
      <c r="A10" s="1" t="s">
        <v>57</v>
      </c>
      <c r="B10" s="1"/>
      <c r="C10" s="6"/>
      <c r="D10" s="6"/>
      <c r="E10" s="6"/>
      <c r="F10" s="6"/>
    </row>
    <row r="12" spans="1:9" x14ac:dyDescent="0.25">
      <c r="A12" s="1" t="s">
        <v>58</v>
      </c>
      <c r="B12" s="1"/>
    </row>
    <row r="13" spans="1:9" x14ac:dyDescent="0.25">
      <c r="A13" s="40" t="s">
        <v>610</v>
      </c>
      <c r="B13" s="33" t="s">
        <v>18</v>
      </c>
      <c r="C13" s="6">
        <v>5000</v>
      </c>
      <c r="D13" s="2">
        <f>C13</f>
        <v>5000</v>
      </c>
      <c r="E13" s="2">
        <f>D13</f>
        <v>5000</v>
      </c>
      <c r="F13" s="2">
        <f>E13</f>
        <v>5000</v>
      </c>
      <c r="H13" t="s">
        <v>611</v>
      </c>
      <c r="I13" s="1"/>
    </row>
    <row r="14" spans="1:9" x14ac:dyDescent="0.25">
      <c r="D14" s="6"/>
      <c r="E14" s="6"/>
      <c r="F14" s="6"/>
    </row>
    <row r="15" spans="1:9" x14ac:dyDescent="0.25">
      <c r="A15" s="1" t="s">
        <v>157</v>
      </c>
      <c r="B15" s="1"/>
      <c r="C15" s="6"/>
      <c r="D15" s="6"/>
      <c r="E15" s="6"/>
      <c r="F15" s="6"/>
    </row>
    <row r="16" spans="1:9" x14ac:dyDescent="0.25">
      <c r="A16" s="40" t="s">
        <v>612</v>
      </c>
      <c r="B16" s="33" t="s">
        <v>17</v>
      </c>
      <c r="C16" s="6">
        <v>16750</v>
      </c>
      <c r="D16" s="6">
        <v>16750</v>
      </c>
      <c r="E16" s="6">
        <v>16750</v>
      </c>
      <c r="F16" s="6">
        <v>16750</v>
      </c>
      <c r="G16" s="3" t="s">
        <v>386</v>
      </c>
      <c r="H16" t="s">
        <v>613</v>
      </c>
    </row>
    <row r="17" spans="1:8" x14ac:dyDescent="0.25">
      <c r="A17" s="22" t="s">
        <v>614</v>
      </c>
      <c r="B17" s="33" t="s">
        <v>17</v>
      </c>
      <c r="C17" s="6">
        <v>37383</v>
      </c>
      <c r="D17" s="6">
        <f>C17</f>
        <v>37383</v>
      </c>
      <c r="E17" s="6">
        <f>D17</f>
        <v>37383</v>
      </c>
      <c r="F17" s="6">
        <v>37383</v>
      </c>
      <c r="G17" s="3" t="s">
        <v>204</v>
      </c>
      <c r="H17" t="s">
        <v>615</v>
      </c>
    </row>
    <row r="18" spans="1:8" x14ac:dyDescent="0.25">
      <c r="A18" s="22" t="s">
        <v>616</v>
      </c>
      <c r="B18" s="33" t="s">
        <v>17</v>
      </c>
      <c r="C18" s="6">
        <v>5000</v>
      </c>
      <c r="D18" s="6">
        <v>5000</v>
      </c>
      <c r="E18" s="6">
        <v>5000</v>
      </c>
      <c r="F18" s="6">
        <v>5000</v>
      </c>
      <c r="G18" s="3" t="s">
        <v>547</v>
      </c>
      <c r="H18" t="s">
        <v>617</v>
      </c>
    </row>
    <row r="20" spans="1:8" ht="17.25" customHeight="1" x14ac:dyDescent="0.25">
      <c r="A20" s="1" t="s">
        <v>133</v>
      </c>
      <c r="B20" s="1"/>
      <c r="C20" s="6"/>
      <c r="D20" s="6"/>
      <c r="E20" s="6"/>
      <c r="F20" s="6"/>
    </row>
    <row r="21" spans="1:8" ht="17.25" customHeight="1" x14ac:dyDescent="0.25">
      <c r="A21" s="40" t="s">
        <v>618</v>
      </c>
      <c r="B21" t="s">
        <v>18</v>
      </c>
      <c r="C21" s="6">
        <v>243.75</v>
      </c>
      <c r="D21" s="6">
        <v>243.75</v>
      </c>
      <c r="E21" s="6">
        <v>243.75</v>
      </c>
      <c r="F21" s="6">
        <v>243.75</v>
      </c>
    </row>
    <row r="22" spans="1:8" x14ac:dyDescent="0.25">
      <c r="A22" s="40" t="s">
        <v>288</v>
      </c>
      <c r="B22" t="s">
        <v>18</v>
      </c>
      <c r="C22" s="2">
        <f>95+12.26</f>
        <v>107.26</v>
      </c>
      <c r="D22" s="2">
        <f>95+12.26</f>
        <v>107.26</v>
      </c>
      <c r="E22" s="2">
        <f>95+12.26</f>
        <v>107.26</v>
      </c>
      <c r="F22" s="2">
        <f>95+12.26</f>
        <v>107.26</v>
      </c>
    </row>
    <row r="23" spans="1:8" x14ac:dyDescent="0.25">
      <c r="E23" s="6"/>
      <c r="F23" s="6"/>
    </row>
    <row r="24" spans="1:8" x14ac:dyDescent="0.25">
      <c r="A24" s="1" t="s">
        <v>168</v>
      </c>
      <c r="B24" s="1"/>
      <c r="C24" s="7">
        <f>SUM(C7:C22)</f>
        <v>64484.01</v>
      </c>
      <c r="D24" s="7">
        <f>SUM(D7:D22)</f>
        <v>64484.01</v>
      </c>
      <c r="E24" s="7">
        <f>SUM(E7:E22)</f>
        <v>64484.01</v>
      </c>
      <c r="F24" s="7">
        <f>SUM(F7:F22)</f>
        <v>64484.01</v>
      </c>
    </row>
    <row r="25" spans="1:8" x14ac:dyDescent="0.25">
      <c r="C25" s="6"/>
      <c r="D25" s="6"/>
      <c r="E25" s="6"/>
      <c r="F25" s="6"/>
    </row>
    <row r="26" spans="1:8" x14ac:dyDescent="0.25">
      <c r="A26" s="8"/>
      <c r="B26" s="8"/>
      <c r="C26" s="17"/>
      <c r="D26" s="17"/>
      <c r="E26" s="18"/>
      <c r="F26" s="18"/>
      <c r="G26" s="19"/>
      <c r="H26" s="8"/>
    </row>
    <row r="27" spans="1:8" x14ac:dyDescent="0.25">
      <c r="A27" s="1" t="s">
        <v>169</v>
      </c>
      <c r="B27" s="1"/>
      <c r="C27" s="6"/>
      <c r="D27" s="6"/>
      <c r="E27" s="7"/>
      <c r="F27" s="7"/>
    </row>
    <row r="28" spans="1:8" x14ac:dyDescent="0.25">
      <c r="A28" t="s">
        <v>619</v>
      </c>
      <c r="C28" s="6">
        <v>-10736.02</v>
      </c>
      <c r="D28" s="6">
        <f>C28</f>
        <v>-10736.02</v>
      </c>
      <c r="E28" s="6">
        <f>C28</f>
        <v>-10736.02</v>
      </c>
      <c r="F28" s="6">
        <f>C28</f>
        <v>-10736.02</v>
      </c>
    </row>
    <row r="29" spans="1:8" x14ac:dyDescent="0.25">
      <c r="A29" t="s">
        <v>620</v>
      </c>
      <c r="C29" s="6">
        <v>-170</v>
      </c>
      <c r="D29" s="6">
        <f>C29</f>
        <v>-170</v>
      </c>
      <c r="E29" s="6">
        <f>C29</f>
        <v>-170</v>
      </c>
      <c r="F29" s="6">
        <f>C29</f>
        <v>-170</v>
      </c>
    </row>
    <row r="30" spans="1:8" x14ac:dyDescent="0.25">
      <c r="A30" t="s">
        <v>621</v>
      </c>
      <c r="C30" s="6">
        <v>-78882.600000000006</v>
      </c>
      <c r="D30" s="6">
        <f>C30</f>
        <v>-78882.600000000006</v>
      </c>
      <c r="E30" s="6">
        <f>C30</f>
        <v>-78882.600000000006</v>
      </c>
      <c r="F30" s="6">
        <f>C30</f>
        <v>-78882.600000000006</v>
      </c>
      <c r="H30" t="s">
        <v>622</v>
      </c>
    </row>
    <row r="31" spans="1:8" x14ac:dyDescent="0.25">
      <c r="A31" t="s">
        <v>623</v>
      </c>
      <c r="C31" s="6">
        <v>-71861.460000000006</v>
      </c>
      <c r="D31" s="6">
        <f>C31</f>
        <v>-71861.460000000006</v>
      </c>
      <c r="E31" s="6">
        <f>C31</f>
        <v>-71861.460000000006</v>
      </c>
      <c r="F31" s="6">
        <f>C31</f>
        <v>-71861.460000000006</v>
      </c>
      <c r="H31" t="s">
        <v>624</v>
      </c>
    </row>
    <row r="32" spans="1:8" x14ac:dyDescent="0.25">
      <c r="A32" t="s">
        <v>625</v>
      </c>
      <c r="C32" s="6"/>
      <c r="D32" s="6"/>
      <c r="E32" s="6"/>
      <c r="F32" s="6"/>
      <c r="H32" t="s">
        <v>626</v>
      </c>
    </row>
    <row r="33" spans="1:9" x14ac:dyDescent="0.25">
      <c r="A33" s="1" t="s">
        <v>183</v>
      </c>
      <c r="B33" s="1"/>
      <c r="C33" s="7">
        <f>SUM(C28:C32)</f>
        <v>-161650.08000000002</v>
      </c>
      <c r="D33" s="7">
        <f>SUM(D28:D32)</f>
        <v>-161650.08000000002</v>
      </c>
      <c r="E33" s="7">
        <f>SUM(E28:E32)</f>
        <v>-161650.08000000002</v>
      </c>
      <c r="F33" s="7">
        <f>SUM(F28:F32)</f>
        <v>-161650.08000000002</v>
      </c>
    </row>
    <row r="34" spans="1:9" x14ac:dyDescent="0.25">
      <c r="A34" s="1"/>
      <c r="B34" s="1"/>
      <c r="C34" s="7"/>
      <c r="D34" s="7"/>
      <c r="E34" s="7"/>
      <c r="F34" s="7"/>
    </row>
    <row r="35" spans="1:9" x14ac:dyDescent="0.25">
      <c r="A35" s="42" t="s">
        <v>184</v>
      </c>
      <c r="B35" s="42"/>
      <c r="C35" s="43">
        <f>C24+C33</f>
        <v>-97166.07</v>
      </c>
      <c r="D35" s="43">
        <f>D24+D33</f>
        <v>-97166.07</v>
      </c>
      <c r="E35" s="43">
        <f>E24+E33</f>
        <v>-97166.07</v>
      </c>
      <c r="F35" s="43">
        <f>F24+F33</f>
        <v>-97166.07</v>
      </c>
    </row>
    <row r="37" spans="1:9" x14ac:dyDescent="0.25">
      <c r="A37" s="11" t="s">
        <v>627</v>
      </c>
      <c r="B37" s="11"/>
      <c r="C37" s="10">
        <f>C4+C24+C33</f>
        <v>102988.47999999998</v>
      </c>
      <c r="D37" s="10">
        <f>D4+D24+D33</f>
        <v>102988.47999999998</v>
      </c>
      <c r="E37" s="10">
        <f>E4+E24+E33</f>
        <v>102988.47999999998</v>
      </c>
      <c r="F37" s="10">
        <f>F4+F24+F33</f>
        <v>102988.47999999998</v>
      </c>
      <c r="I37" s="20"/>
    </row>
    <row r="39" spans="1:9" s="2" customFormat="1" ht="15.75" thickBot="1" x14ac:dyDescent="0.3">
      <c r="A39"/>
      <c r="B39"/>
      <c r="G39" s="3"/>
      <c r="H39"/>
      <c r="I39"/>
    </row>
    <row r="40" spans="1:9" s="2" customFormat="1" ht="15.75" thickBot="1" x14ac:dyDescent="0.3">
      <c r="A40" s="24" t="s">
        <v>570</v>
      </c>
      <c r="B40" s="24"/>
      <c r="C40" s="24"/>
      <c r="G40" s="3"/>
      <c r="H40"/>
      <c r="I40"/>
    </row>
    <row r="41" spans="1:9" s="2" customFormat="1" x14ac:dyDescent="0.25">
      <c r="A41" t="s">
        <v>571</v>
      </c>
      <c r="B41"/>
      <c r="G41" s="3"/>
      <c r="H41"/>
      <c r="I41"/>
    </row>
    <row r="42" spans="1:9" s="2" customFormat="1" x14ac:dyDescent="0.25">
      <c r="A42" t="s">
        <v>572</v>
      </c>
      <c r="B42"/>
      <c r="G42" s="3"/>
      <c r="H42"/>
      <c r="I42"/>
    </row>
    <row r="43" spans="1:9" s="2" customFormat="1" x14ac:dyDescent="0.25">
      <c r="A43" t="s">
        <v>573</v>
      </c>
      <c r="B43"/>
      <c r="G43" s="3"/>
      <c r="H43"/>
      <c r="I43"/>
    </row>
    <row r="44" spans="1:9" s="2" customFormat="1" x14ac:dyDescent="0.25">
      <c r="A44" t="s">
        <v>574</v>
      </c>
      <c r="B44"/>
      <c r="G44" s="3"/>
      <c r="H44"/>
      <c r="I44"/>
    </row>
    <row r="45" spans="1:9" s="2" customFormat="1" x14ac:dyDescent="0.25">
      <c r="A45" s="25" t="s">
        <v>191</v>
      </c>
      <c r="B45"/>
      <c r="G45" s="3"/>
      <c r="H45"/>
      <c r="I45"/>
    </row>
    <row r="46" spans="1:9" s="2" customFormat="1" x14ac:dyDescent="0.25">
      <c r="A46" s="22" t="s">
        <v>192</v>
      </c>
      <c r="B46"/>
      <c r="G46" s="3"/>
      <c r="H46"/>
      <c r="I46"/>
    </row>
    <row r="47" spans="1:9" s="2" customFormat="1" x14ac:dyDescent="0.25">
      <c r="A47" s="21" t="s">
        <v>193</v>
      </c>
      <c r="B47"/>
      <c r="G47" s="3"/>
      <c r="H47"/>
      <c r="I47"/>
    </row>
    <row r="48" spans="1:9" s="2" customFormat="1" x14ac:dyDescent="0.25">
      <c r="A48"/>
      <c r="B48" s="1"/>
      <c r="C48" s="1"/>
      <c r="G48" s="3"/>
      <c r="H48"/>
      <c r="I48"/>
    </row>
  </sheetData>
  <pageMargins left="0.7" right="0.7" top="0.75" bottom="0.75" header="0.3" footer="0.3"/>
  <pageSetup paperSize="9" scale="57" fitToWidth="0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7">
    <tabColor rgb="FF92D050"/>
    <pageSetUpPr fitToPage="1"/>
  </sheetPr>
  <dimension ref="A1:P60"/>
  <sheetViews>
    <sheetView zoomScale="80" zoomScaleNormal="80" workbookViewId="0">
      <pane ySplit="6" topLeftCell="A28" activePane="bottomLeft" state="frozen"/>
      <selection activeCell="A12" sqref="A12"/>
      <selection pane="bottomLeft" activeCell="A12" sqref="A12"/>
    </sheetView>
  </sheetViews>
  <sheetFormatPr defaultRowHeight="15" x14ac:dyDescent="0.25"/>
  <cols>
    <col min="1" max="1" width="47.85546875" customWidth="1"/>
    <col min="2" max="2" width="8.140625" customWidth="1"/>
    <col min="3" max="6" width="13.42578125" style="2" customWidth="1"/>
    <col min="7" max="7" width="7.85546875" style="3" customWidth="1"/>
    <col min="8" max="8" width="61.7109375" customWidth="1"/>
    <col min="9" max="10" width="8.7109375" customWidth="1"/>
    <col min="11" max="11" width="1" customWidth="1"/>
    <col min="12" max="12" width="37.42578125" bestFit="1" customWidth="1"/>
    <col min="13" max="14" width="9.5703125" bestFit="1" customWidth="1"/>
    <col min="16" max="16" width="9.7109375" bestFit="1" customWidth="1"/>
  </cols>
  <sheetData>
    <row r="1" spans="1:8" x14ac:dyDescent="0.25">
      <c r="A1" s="1" t="s">
        <v>142</v>
      </c>
    </row>
    <row r="2" spans="1:8" x14ac:dyDescent="0.25">
      <c r="A2" s="37" t="s">
        <v>628</v>
      </c>
    </row>
    <row r="3" spans="1:8" x14ac:dyDescent="0.25">
      <c r="A3" s="13"/>
    </row>
    <row r="4" spans="1:8" x14ac:dyDescent="0.25">
      <c r="A4" s="38" t="s">
        <v>629</v>
      </c>
      <c r="B4" s="38"/>
      <c r="C4" s="39">
        <f>F4</f>
        <v>140887.24</v>
      </c>
      <c r="D4" s="39">
        <f>F4</f>
        <v>140887.24</v>
      </c>
      <c r="E4" s="39">
        <f>F4</f>
        <v>140887.24</v>
      </c>
      <c r="F4" s="39">
        <v>140887.24</v>
      </c>
    </row>
    <row r="5" spans="1:8" x14ac:dyDescent="0.25">
      <c r="B5" s="13"/>
    </row>
    <row r="6" spans="1:8" ht="30" x14ac:dyDescent="0.25">
      <c r="A6" s="1" t="s">
        <v>146</v>
      </c>
      <c r="B6" s="36" t="s">
        <v>145</v>
      </c>
      <c r="C6" s="4" t="s">
        <v>108</v>
      </c>
      <c r="D6" s="4" t="s">
        <v>630</v>
      </c>
      <c r="E6" s="4" t="s">
        <v>631</v>
      </c>
      <c r="F6" s="4" t="s">
        <v>148</v>
      </c>
      <c r="G6" s="5" t="s">
        <v>149</v>
      </c>
      <c r="H6" s="1" t="s">
        <v>150</v>
      </c>
    </row>
    <row r="7" spans="1:8" x14ac:dyDescent="0.25">
      <c r="B7" s="1"/>
      <c r="C7" s="6"/>
      <c r="D7" s="6"/>
      <c r="E7" s="6"/>
      <c r="F7" s="6"/>
    </row>
    <row r="8" spans="1:8" x14ac:dyDescent="0.25">
      <c r="A8" s="1" t="s">
        <v>56</v>
      </c>
      <c r="B8" s="6"/>
      <c r="D8" s="6"/>
      <c r="E8" s="6"/>
      <c r="F8" s="6"/>
    </row>
    <row r="9" spans="1:8" x14ac:dyDescent="0.25">
      <c r="A9" s="21" t="s">
        <v>632</v>
      </c>
      <c r="B9" t="s">
        <v>55</v>
      </c>
      <c r="C9" s="6">
        <v>15000</v>
      </c>
      <c r="D9" s="6">
        <v>15000</v>
      </c>
      <c r="E9" s="6">
        <v>15000</v>
      </c>
      <c r="F9" s="34">
        <v>15000</v>
      </c>
      <c r="G9" s="3" t="s">
        <v>204</v>
      </c>
      <c r="H9" s="32" t="s">
        <v>633</v>
      </c>
    </row>
    <row r="10" spans="1:8" x14ac:dyDescent="0.25">
      <c r="A10" s="21" t="s">
        <v>634</v>
      </c>
      <c r="B10" t="s">
        <v>54</v>
      </c>
      <c r="C10" s="6">
        <v>20000</v>
      </c>
      <c r="D10" s="6">
        <v>20000</v>
      </c>
      <c r="E10" s="6">
        <v>20000</v>
      </c>
      <c r="F10" s="34">
        <v>20000</v>
      </c>
      <c r="G10" s="3" t="s">
        <v>204</v>
      </c>
      <c r="H10" s="32" t="s">
        <v>633</v>
      </c>
    </row>
    <row r="11" spans="1:8" x14ac:dyDescent="0.25">
      <c r="C11" s="6"/>
      <c r="D11" s="6"/>
      <c r="E11" s="6"/>
      <c r="F11" s="6"/>
    </row>
    <row r="12" spans="1:8" x14ac:dyDescent="0.25">
      <c r="A12" s="1" t="s">
        <v>635</v>
      </c>
      <c r="B12" s="1"/>
    </row>
    <row r="13" spans="1:8" x14ac:dyDescent="0.25">
      <c r="A13" s="21" t="s">
        <v>228</v>
      </c>
      <c r="B13" t="s">
        <v>55</v>
      </c>
      <c r="C13" s="6">
        <v>48534</v>
      </c>
      <c r="D13" s="6">
        <f>C13</f>
        <v>48534</v>
      </c>
      <c r="E13" s="6">
        <v>48534</v>
      </c>
      <c r="F13" s="34">
        <v>48534</v>
      </c>
      <c r="G13" s="3" t="s">
        <v>636</v>
      </c>
      <c r="H13" t="s">
        <v>637</v>
      </c>
    </row>
    <row r="14" spans="1:8" x14ac:dyDescent="0.25">
      <c r="C14" s="6"/>
      <c r="D14" s="6"/>
      <c r="E14" s="6"/>
      <c r="F14" s="6"/>
    </row>
    <row r="15" spans="1:8" ht="15.75" customHeight="1" x14ac:dyDescent="0.25">
      <c r="A15" s="1" t="s">
        <v>157</v>
      </c>
      <c r="B15" s="1"/>
      <c r="C15" s="6"/>
      <c r="D15" s="6"/>
      <c r="E15" s="6"/>
      <c r="F15" s="6"/>
    </row>
    <row r="16" spans="1:8" x14ac:dyDescent="0.25">
      <c r="A16" s="21" t="s">
        <v>638</v>
      </c>
      <c r="B16" t="s">
        <v>55</v>
      </c>
      <c r="C16" s="6">
        <v>2462</v>
      </c>
      <c r="D16" s="6">
        <v>2462</v>
      </c>
      <c r="E16" s="6">
        <v>2462</v>
      </c>
      <c r="F16" s="34">
        <v>2462</v>
      </c>
      <c r="H16" t="s">
        <v>637</v>
      </c>
    </row>
    <row r="17" spans="1:8" x14ac:dyDescent="0.25">
      <c r="A17" s="21" t="s">
        <v>639</v>
      </c>
      <c r="B17" t="s">
        <v>54</v>
      </c>
      <c r="C17" s="6">
        <v>11250</v>
      </c>
      <c r="D17" s="2">
        <v>11250</v>
      </c>
      <c r="E17" s="6">
        <v>11250</v>
      </c>
      <c r="F17" s="34">
        <v>11250</v>
      </c>
      <c r="H17" t="s">
        <v>640</v>
      </c>
    </row>
    <row r="18" spans="1:8" ht="17.25" customHeight="1" x14ac:dyDescent="0.25">
      <c r="C18" s="6"/>
      <c r="D18" s="6"/>
      <c r="E18" s="6"/>
      <c r="F18" s="6"/>
    </row>
    <row r="19" spans="1:8" x14ac:dyDescent="0.25">
      <c r="A19" s="1" t="s">
        <v>57</v>
      </c>
      <c r="B19" s="1"/>
      <c r="C19" s="6"/>
      <c r="D19" s="6"/>
      <c r="E19" s="6"/>
      <c r="F19" s="6"/>
    </row>
    <row r="20" spans="1:8" ht="17.25" customHeight="1" x14ac:dyDescent="0.25">
      <c r="A20" s="21" t="s">
        <v>641</v>
      </c>
      <c r="B20" t="s">
        <v>54</v>
      </c>
      <c r="C20" s="6">
        <v>10000</v>
      </c>
      <c r="D20" s="6">
        <f>C20</f>
        <v>10000</v>
      </c>
      <c r="E20" s="6">
        <v>10000</v>
      </c>
      <c r="F20" s="34">
        <v>10000</v>
      </c>
      <c r="H20" t="s">
        <v>642</v>
      </c>
    </row>
    <row r="21" spans="1:8" ht="17.25" customHeight="1" x14ac:dyDescent="0.25">
      <c r="A21" s="22" t="s">
        <v>643</v>
      </c>
      <c r="B21" t="s">
        <v>54</v>
      </c>
      <c r="C21" s="6">
        <v>10000</v>
      </c>
      <c r="D21" s="6">
        <f>C21</f>
        <v>10000</v>
      </c>
      <c r="E21" s="6"/>
      <c r="F21" s="6"/>
      <c r="G21" s="3" t="s">
        <v>207</v>
      </c>
      <c r="H21" t="s">
        <v>644</v>
      </c>
    </row>
    <row r="22" spans="1:8" ht="17.25" customHeight="1" x14ac:dyDescent="0.25">
      <c r="H22" t="s">
        <v>645</v>
      </c>
    </row>
    <row r="23" spans="1:8" x14ac:dyDescent="0.25">
      <c r="A23" s="1" t="s">
        <v>133</v>
      </c>
      <c r="B23" s="1"/>
      <c r="C23" s="6"/>
      <c r="E23" s="6"/>
    </row>
    <row r="24" spans="1:8" x14ac:dyDescent="0.25">
      <c r="A24" s="1"/>
      <c r="B24" s="1"/>
      <c r="C24" s="6"/>
      <c r="E24" s="6"/>
      <c r="F24" s="34">
        <v>907.2</v>
      </c>
      <c r="H24" t="s">
        <v>646</v>
      </c>
    </row>
    <row r="25" spans="1:8" x14ac:dyDescent="0.25">
      <c r="E25" s="6"/>
      <c r="F25" s="34">
        <f>31.78+60.83</f>
        <v>92.61</v>
      </c>
      <c r="H25" t="s">
        <v>288</v>
      </c>
    </row>
    <row r="26" spans="1:8" x14ac:dyDescent="0.25">
      <c r="E26" s="6"/>
      <c r="F26" s="6"/>
    </row>
    <row r="27" spans="1:8" x14ac:dyDescent="0.25">
      <c r="A27" s="1" t="s">
        <v>647</v>
      </c>
      <c r="B27" s="1"/>
      <c r="C27" s="7">
        <f>SUM(C7:C25)</f>
        <v>117246</v>
      </c>
      <c r="D27" s="7">
        <f>SUM(D7:D25)</f>
        <v>117246</v>
      </c>
      <c r="E27" s="7">
        <f>SUM(E7:E25)</f>
        <v>107246</v>
      </c>
      <c r="F27" s="7">
        <f>SUM(F7:F25)</f>
        <v>108245.81</v>
      </c>
    </row>
    <row r="28" spans="1:8" x14ac:dyDescent="0.25">
      <c r="A28" s="1"/>
      <c r="B28" s="1"/>
      <c r="C28" s="7"/>
      <c r="D28" s="7"/>
      <c r="E28" s="7"/>
      <c r="F28" s="7"/>
    </row>
    <row r="29" spans="1:8" x14ac:dyDescent="0.25">
      <c r="A29" s="1" t="s">
        <v>648</v>
      </c>
      <c r="B29" s="1"/>
      <c r="C29" s="7"/>
      <c r="D29" s="7"/>
      <c r="E29" s="7"/>
      <c r="F29" s="7"/>
    </row>
    <row r="30" spans="1:8" x14ac:dyDescent="0.25">
      <c r="A30" s="21" t="s">
        <v>649</v>
      </c>
      <c r="B30" t="s">
        <v>55</v>
      </c>
      <c r="C30" s="31">
        <v>5000</v>
      </c>
      <c r="D30" s="31">
        <v>5000</v>
      </c>
      <c r="E30" s="31">
        <v>5000</v>
      </c>
      <c r="F30" s="41">
        <v>5000</v>
      </c>
      <c r="H30" t="s">
        <v>650</v>
      </c>
    </row>
    <row r="31" spans="1:8" x14ac:dyDescent="0.25">
      <c r="A31" s="21" t="s">
        <v>651</v>
      </c>
      <c r="B31" t="s">
        <v>55</v>
      </c>
      <c r="C31" s="31">
        <v>4601</v>
      </c>
      <c r="D31" s="31">
        <v>4601</v>
      </c>
      <c r="E31" s="31">
        <v>4601</v>
      </c>
      <c r="F31" s="41">
        <f>E31</f>
        <v>4601</v>
      </c>
      <c r="H31" t="s">
        <v>652</v>
      </c>
    </row>
    <row r="32" spans="1:8" x14ac:dyDescent="0.25">
      <c r="A32" s="21" t="s">
        <v>653</v>
      </c>
      <c r="B32" t="s">
        <v>55</v>
      </c>
      <c r="C32" s="31">
        <v>2130</v>
      </c>
      <c r="D32" s="31">
        <v>2130</v>
      </c>
      <c r="E32" s="31">
        <v>2130</v>
      </c>
      <c r="F32" s="41">
        <f>E32</f>
        <v>2130</v>
      </c>
      <c r="H32" t="s">
        <v>652</v>
      </c>
    </row>
    <row r="33" spans="1:16" x14ac:dyDescent="0.25">
      <c r="A33" s="21" t="s">
        <v>321</v>
      </c>
      <c r="B33" t="s">
        <v>55</v>
      </c>
      <c r="C33" s="2">
        <v>6250</v>
      </c>
      <c r="D33" s="2">
        <v>6250</v>
      </c>
      <c r="E33" s="2">
        <v>6250</v>
      </c>
      <c r="F33" s="41">
        <f>E33</f>
        <v>6250</v>
      </c>
      <c r="H33" t="s">
        <v>654</v>
      </c>
    </row>
    <row r="34" spans="1:16" x14ac:dyDescent="0.25">
      <c r="C34" s="7">
        <f>SUM(C30:C33)</f>
        <v>17981</v>
      </c>
      <c r="D34" s="7">
        <f>SUM(D30:D33)</f>
        <v>17981</v>
      </c>
      <c r="E34" s="7">
        <f>SUM(E30:E33)</f>
        <v>17981</v>
      </c>
      <c r="F34" s="7">
        <f>SUM(F30:F33)</f>
        <v>17981</v>
      </c>
    </row>
    <row r="35" spans="1:16" x14ac:dyDescent="0.25">
      <c r="C35" s="7"/>
      <c r="D35" s="7"/>
      <c r="E35" s="7"/>
      <c r="F35" s="7"/>
    </row>
    <row r="36" spans="1:16" x14ac:dyDescent="0.25">
      <c r="A36" s="1" t="s">
        <v>61</v>
      </c>
      <c r="B36" s="1"/>
      <c r="C36" s="7">
        <f>C27+C34</f>
        <v>135227</v>
      </c>
      <c r="D36" s="7">
        <f>D27+D34</f>
        <v>135227</v>
      </c>
      <c r="E36" s="7">
        <f>E27+E34</f>
        <v>125227</v>
      </c>
      <c r="F36" s="7">
        <f>F27+F34</f>
        <v>126226.81</v>
      </c>
      <c r="L36" s="30"/>
      <c r="P36" s="15"/>
    </row>
    <row r="37" spans="1:16" x14ac:dyDescent="0.25">
      <c r="A37" s="8"/>
      <c r="C37" s="17"/>
      <c r="D37" s="17"/>
      <c r="E37" s="18"/>
      <c r="F37" s="18"/>
      <c r="G37" s="19"/>
      <c r="H37" s="8"/>
      <c r="M37" s="6"/>
      <c r="P37" s="15"/>
    </row>
    <row r="38" spans="1:16" x14ac:dyDescent="0.25">
      <c r="A38" s="1" t="s">
        <v>169</v>
      </c>
      <c r="B38" s="1"/>
      <c r="C38" s="6"/>
      <c r="D38" s="6"/>
      <c r="E38" s="7"/>
      <c r="F38" s="7"/>
    </row>
    <row r="39" spans="1:16" x14ac:dyDescent="0.25">
      <c r="C39" s="6"/>
      <c r="D39" s="6"/>
      <c r="E39" s="6"/>
      <c r="F39" s="6"/>
    </row>
    <row r="40" spans="1:16" x14ac:dyDescent="0.25">
      <c r="A40" t="s">
        <v>236</v>
      </c>
      <c r="C40" s="6">
        <v>-6273.79</v>
      </c>
      <c r="D40" s="6">
        <f>C40</f>
        <v>-6273.79</v>
      </c>
      <c r="E40" s="6">
        <f>D40</f>
        <v>-6273.79</v>
      </c>
      <c r="F40" s="6">
        <f>E40</f>
        <v>-6273.79</v>
      </c>
      <c r="H40" t="s">
        <v>215</v>
      </c>
    </row>
    <row r="41" spans="1:16" x14ac:dyDescent="0.25">
      <c r="A41" t="s">
        <v>237</v>
      </c>
      <c r="C41" s="6">
        <v>0</v>
      </c>
      <c r="D41" s="6">
        <v>0</v>
      </c>
      <c r="E41" s="6">
        <f t="shared" ref="E41:F43" si="0">D41</f>
        <v>0</v>
      </c>
      <c r="F41" s="6">
        <f t="shared" si="0"/>
        <v>0</v>
      </c>
      <c r="H41" t="s">
        <v>215</v>
      </c>
    </row>
    <row r="42" spans="1:16" x14ac:dyDescent="0.25">
      <c r="A42" t="s">
        <v>238</v>
      </c>
      <c r="C42" s="6">
        <v>-66268.19</v>
      </c>
      <c r="D42" s="6">
        <f>C42</f>
        <v>-66268.19</v>
      </c>
      <c r="E42" s="6">
        <f t="shared" si="0"/>
        <v>-66268.19</v>
      </c>
      <c r="F42" s="6">
        <f t="shared" si="0"/>
        <v>-66268.19</v>
      </c>
      <c r="H42" t="s">
        <v>215</v>
      </c>
    </row>
    <row r="43" spans="1:16" x14ac:dyDescent="0.25">
      <c r="A43" t="s">
        <v>239</v>
      </c>
      <c r="C43" s="6">
        <v>-80050.81</v>
      </c>
      <c r="D43" s="6">
        <f>C43</f>
        <v>-80050.81</v>
      </c>
      <c r="E43" s="6">
        <f t="shared" si="0"/>
        <v>-80050.81</v>
      </c>
      <c r="F43" s="6">
        <f t="shared" si="0"/>
        <v>-80050.81</v>
      </c>
      <c r="H43" t="s">
        <v>215</v>
      </c>
    </row>
    <row r="44" spans="1:16" x14ac:dyDescent="0.25">
      <c r="C44" s="6"/>
      <c r="D44" s="6"/>
      <c r="E44" s="6"/>
      <c r="F44" s="6"/>
    </row>
    <row r="45" spans="1:16" x14ac:dyDescent="0.25">
      <c r="A45" s="1" t="s">
        <v>183</v>
      </c>
      <c r="B45" s="1"/>
      <c r="C45" s="7">
        <f>SUM(C40:C44)</f>
        <v>-152592.78999999998</v>
      </c>
      <c r="D45" s="7">
        <f>SUM(D40:D44)</f>
        <v>-152592.78999999998</v>
      </c>
      <c r="E45" s="7">
        <f>SUM(E40:E44)</f>
        <v>-152592.78999999998</v>
      </c>
      <c r="F45" s="7">
        <f>SUM(F40:F44)</f>
        <v>-152592.78999999998</v>
      </c>
      <c r="J45" s="6"/>
    </row>
    <row r="47" spans="1:16" x14ac:dyDescent="0.25">
      <c r="A47" s="11" t="s">
        <v>655</v>
      </c>
      <c r="B47" s="35"/>
      <c r="C47" s="10">
        <f>C4+C27+C45+C34</f>
        <v>123521.45000000001</v>
      </c>
      <c r="D47" s="10">
        <f>D4+D27+D45+D34</f>
        <v>123521.45000000001</v>
      </c>
      <c r="E47" s="10">
        <f>E4+E27+E45+E34</f>
        <v>113521.45000000001</v>
      </c>
      <c r="F47" s="10">
        <f>F4+F27+F45+F34</f>
        <v>114521.26000000001</v>
      </c>
      <c r="I47" s="20"/>
      <c r="J47" s="20"/>
    </row>
    <row r="50" spans="1:2" ht="15.75" thickBot="1" x14ac:dyDescent="0.3"/>
    <row r="51" spans="1:2" ht="15.75" thickBot="1" x14ac:dyDescent="0.3">
      <c r="A51" s="24" t="s">
        <v>570</v>
      </c>
      <c r="B51" s="1"/>
    </row>
    <row r="52" spans="1:2" x14ac:dyDescent="0.25">
      <c r="A52" t="s">
        <v>571</v>
      </c>
    </row>
    <row r="53" spans="1:2" x14ac:dyDescent="0.25">
      <c r="A53" t="s">
        <v>656</v>
      </c>
    </row>
    <row r="54" spans="1:2" x14ac:dyDescent="0.25">
      <c r="A54" t="s">
        <v>657</v>
      </c>
    </row>
    <row r="55" spans="1:2" x14ac:dyDescent="0.25">
      <c r="A55" t="s">
        <v>574</v>
      </c>
    </row>
    <row r="57" spans="1:2" x14ac:dyDescent="0.25">
      <c r="A57" s="25" t="s">
        <v>191</v>
      </c>
    </row>
    <row r="58" spans="1:2" x14ac:dyDescent="0.25">
      <c r="A58" s="22" t="s">
        <v>192</v>
      </c>
    </row>
    <row r="59" spans="1:2" x14ac:dyDescent="0.25">
      <c r="A59" s="21" t="s">
        <v>193</v>
      </c>
    </row>
    <row r="60" spans="1:2" ht="15.75" thickBot="1" x14ac:dyDescent="0.3">
      <c r="A60" s="26"/>
    </row>
  </sheetData>
  <pageMargins left="0.70866141732283472" right="0.31496062992125984" top="0.55118110236220474" bottom="0.35433070866141736" header="0.31496062992125984" footer="0.11811023622047245"/>
  <pageSetup paperSize="9" scale="51" fitToHeight="0" orientation="portrait" r:id="rId1"/>
  <headerFooter>
    <oddHeader>&amp;L&amp;"-,Bold"SPORTED FOUNDATION&amp;"-,Regular"
MAY 2017 - PROJECTED CURRENT ACCOUNT BALANCE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8">
    <pageSetUpPr fitToPage="1"/>
  </sheetPr>
  <dimension ref="A1:O63"/>
  <sheetViews>
    <sheetView zoomScale="80" zoomScaleNormal="80" workbookViewId="0">
      <selection activeCell="A14" sqref="A14:A15"/>
    </sheetView>
  </sheetViews>
  <sheetFormatPr defaultRowHeight="15" x14ac:dyDescent="0.25"/>
  <cols>
    <col min="1" max="1" width="54.42578125" bestFit="1" customWidth="1"/>
    <col min="2" max="5" width="13.42578125" style="2" customWidth="1"/>
    <col min="6" max="6" width="9.140625" style="3"/>
    <col min="7" max="7" width="86.42578125" bestFit="1" customWidth="1"/>
    <col min="8" max="9" width="8.7109375" customWidth="1"/>
    <col min="10" max="10" width="1" customWidth="1"/>
    <col min="11" max="11" width="37.42578125" bestFit="1" customWidth="1"/>
    <col min="12" max="12" width="11.5703125" bestFit="1" customWidth="1"/>
    <col min="13" max="13" width="9.5703125" bestFit="1" customWidth="1"/>
    <col min="15" max="15" width="9.7109375" bestFit="1" customWidth="1"/>
  </cols>
  <sheetData>
    <row r="1" spans="1:11" x14ac:dyDescent="0.25">
      <c r="A1" s="11" t="s">
        <v>658</v>
      </c>
      <c r="B1" s="10">
        <v>193920.21</v>
      </c>
      <c r="C1" s="10">
        <v>193920.21</v>
      </c>
      <c r="D1" s="10">
        <v>193920.21</v>
      </c>
      <c r="E1" s="10">
        <v>193920.21</v>
      </c>
    </row>
    <row r="2" spans="1:11" x14ac:dyDescent="0.25">
      <c r="A2" s="13" t="s">
        <v>659</v>
      </c>
      <c r="G2" t="s">
        <v>464</v>
      </c>
    </row>
    <row r="3" spans="1:11" x14ac:dyDescent="0.25">
      <c r="A3" s="1" t="s">
        <v>146</v>
      </c>
      <c r="B3" s="4" t="s">
        <v>108</v>
      </c>
      <c r="C3" s="4" t="s">
        <v>630</v>
      </c>
      <c r="D3" s="4" t="s">
        <v>631</v>
      </c>
      <c r="E3" s="4" t="s">
        <v>148</v>
      </c>
      <c r="F3" s="5" t="s">
        <v>149</v>
      </c>
      <c r="G3" s="1" t="s">
        <v>660</v>
      </c>
      <c r="K3" t="s">
        <v>661</v>
      </c>
    </row>
    <row r="4" spans="1:11" x14ac:dyDescent="0.25">
      <c r="A4" s="1" t="s">
        <v>662</v>
      </c>
      <c r="B4" s="6"/>
      <c r="C4" s="6"/>
      <c r="D4" s="6"/>
      <c r="E4" s="6"/>
      <c r="K4" t="s">
        <v>663</v>
      </c>
    </row>
    <row r="5" spans="1:11" x14ac:dyDescent="0.25">
      <c r="A5" t="s">
        <v>664</v>
      </c>
      <c r="B5" s="6"/>
      <c r="C5" s="6"/>
      <c r="D5" s="6"/>
      <c r="E5" s="6"/>
      <c r="G5" t="s">
        <v>464</v>
      </c>
      <c r="K5" t="s">
        <v>665</v>
      </c>
    </row>
    <row r="6" spans="1:11" x14ac:dyDescent="0.25">
      <c r="B6" s="6"/>
      <c r="C6" s="6"/>
      <c r="D6" s="6"/>
      <c r="E6" s="6"/>
      <c r="G6" s="13"/>
      <c r="K6" t="s">
        <v>666</v>
      </c>
    </row>
    <row r="7" spans="1:11" x14ac:dyDescent="0.25">
      <c r="A7" s="1" t="s">
        <v>667</v>
      </c>
      <c r="K7" t="s">
        <v>668</v>
      </c>
    </row>
    <row r="8" spans="1:11" x14ac:dyDescent="0.25">
      <c r="A8" t="s">
        <v>669</v>
      </c>
      <c r="B8" s="6">
        <v>2500</v>
      </c>
      <c r="C8" s="6">
        <f>B8</f>
        <v>2500</v>
      </c>
      <c r="D8" s="6">
        <v>2500</v>
      </c>
      <c r="E8" s="6">
        <f>D8</f>
        <v>2500</v>
      </c>
      <c r="F8" s="3" t="s">
        <v>547</v>
      </c>
      <c r="G8" t="s">
        <v>670</v>
      </c>
    </row>
    <row r="9" spans="1:11" x14ac:dyDescent="0.25">
      <c r="A9" t="s">
        <v>671</v>
      </c>
      <c r="B9" s="6">
        <v>6000</v>
      </c>
      <c r="C9" s="6">
        <f>B9</f>
        <v>6000</v>
      </c>
      <c r="D9" s="6">
        <v>6000</v>
      </c>
      <c r="E9" s="6">
        <v>6000</v>
      </c>
      <c r="F9" s="3" t="s">
        <v>672</v>
      </c>
      <c r="G9" t="s">
        <v>673</v>
      </c>
    </row>
    <row r="10" spans="1:11" x14ac:dyDescent="0.25">
      <c r="A10" t="s">
        <v>674</v>
      </c>
      <c r="B10" s="6">
        <v>1870</v>
      </c>
      <c r="C10" s="6">
        <f>B10</f>
        <v>1870</v>
      </c>
      <c r="D10" s="6">
        <v>1870</v>
      </c>
      <c r="E10" s="6">
        <v>1870</v>
      </c>
      <c r="G10" t="s">
        <v>675</v>
      </c>
    </row>
    <row r="11" spans="1:11" x14ac:dyDescent="0.25">
      <c r="B11" s="6"/>
      <c r="C11" s="6"/>
      <c r="D11" s="6"/>
      <c r="E11" s="6"/>
    </row>
    <row r="12" spans="1:11" x14ac:dyDescent="0.25">
      <c r="A12" s="1" t="s">
        <v>676</v>
      </c>
      <c r="B12" s="6"/>
      <c r="C12" s="6"/>
      <c r="D12" s="6"/>
      <c r="E12" s="6"/>
    </row>
    <row r="13" spans="1:11" x14ac:dyDescent="0.25">
      <c r="A13" t="s">
        <v>677</v>
      </c>
      <c r="B13" s="6">
        <v>36000</v>
      </c>
      <c r="C13" s="6"/>
      <c r="D13" s="6"/>
      <c r="E13" s="6"/>
      <c r="G13" t="s">
        <v>678</v>
      </c>
    </row>
    <row r="14" spans="1:11" x14ac:dyDescent="0.25">
      <c r="A14" t="s">
        <v>651</v>
      </c>
      <c r="B14" s="6">
        <v>6000</v>
      </c>
      <c r="C14" s="6">
        <f>B14</f>
        <v>6000</v>
      </c>
      <c r="D14" s="6">
        <v>10526.17</v>
      </c>
      <c r="E14" s="6">
        <f>D14</f>
        <v>10526.17</v>
      </c>
      <c r="F14" s="3" t="s">
        <v>159</v>
      </c>
      <c r="G14" t="s">
        <v>679</v>
      </c>
    </row>
    <row r="15" spans="1:11" x14ac:dyDescent="0.25">
      <c r="A15" t="s">
        <v>653</v>
      </c>
      <c r="B15" s="6">
        <v>3000</v>
      </c>
      <c r="C15" s="6">
        <f>B15</f>
        <v>3000</v>
      </c>
      <c r="D15" s="6">
        <f>C15</f>
        <v>3000</v>
      </c>
      <c r="E15" s="6">
        <f>D15</f>
        <v>3000</v>
      </c>
      <c r="F15" s="3" t="s">
        <v>159</v>
      </c>
      <c r="G15" t="s">
        <v>679</v>
      </c>
    </row>
    <row r="16" spans="1:11" x14ac:dyDescent="0.25">
      <c r="A16" t="s">
        <v>680</v>
      </c>
      <c r="B16" s="6">
        <v>67685</v>
      </c>
      <c r="C16" s="6">
        <f>B16</f>
        <v>67685</v>
      </c>
      <c r="D16" s="6">
        <f>C16</f>
        <v>67685</v>
      </c>
      <c r="E16" s="6">
        <v>67685</v>
      </c>
      <c r="F16" s="3" t="s">
        <v>681</v>
      </c>
      <c r="G16" t="s">
        <v>682</v>
      </c>
    </row>
    <row r="17" spans="1:7" x14ac:dyDescent="0.25">
      <c r="A17" t="s">
        <v>683</v>
      </c>
      <c r="B17" s="6">
        <v>5000</v>
      </c>
      <c r="C17" s="6"/>
      <c r="D17" s="6"/>
      <c r="E17" s="6"/>
      <c r="G17" t="s">
        <v>684</v>
      </c>
    </row>
    <row r="19" spans="1:7" x14ac:dyDescent="0.25">
      <c r="A19" s="1" t="s">
        <v>685</v>
      </c>
      <c r="B19" s="6"/>
      <c r="C19" s="6"/>
      <c r="D19" s="6"/>
      <c r="E19" s="6"/>
    </row>
    <row r="20" spans="1:7" x14ac:dyDescent="0.25">
      <c r="B20" s="6"/>
      <c r="C20" s="6"/>
      <c r="D20" s="6"/>
      <c r="E20" s="6"/>
      <c r="G20" s="13"/>
    </row>
    <row r="21" spans="1:7" x14ac:dyDescent="0.25">
      <c r="A21" s="1" t="s">
        <v>686</v>
      </c>
      <c r="B21" s="6"/>
      <c r="C21" s="6"/>
      <c r="D21" s="6"/>
      <c r="E21" s="6"/>
    </row>
    <row r="22" spans="1:7" ht="17.25" customHeight="1" x14ac:dyDescent="0.25">
      <c r="A22" t="s">
        <v>687</v>
      </c>
      <c r="B22" s="6">
        <v>10000</v>
      </c>
      <c r="C22" s="6">
        <v>0</v>
      </c>
      <c r="D22" s="6">
        <v>0</v>
      </c>
      <c r="E22" s="6"/>
      <c r="F22" s="3">
        <v>0</v>
      </c>
      <c r="G22" t="s">
        <v>684</v>
      </c>
    </row>
    <row r="23" spans="1:7" ht="17.25" customHeight="1" x14ac:dyDescent="0.25">
      <c r="A23" s="13" t="s">
        <v>688</v>
      </c>
      <c r="B23" s="6"/>
      <c r="C23" s="6"/>
      <c r="D23" s="6"/>
      <c r="E23" s="6"/>
      <c r="G23" s="13" t="s">
        <v>689</v>
      </c>
    </row>
    <row r="24" spans="1:7" ht="17.25" customHeight="1" x14ac:dyDescent="0.25">
      <c r="B24" s="6"/>
      <c r="C24" s="6"/>
      <c r="D24" s="6"/>
      <c r="E24" s="6"/>
    </row>
    <row r="25" spans="1:7" ht="17.25" customHeight="1" x14ac:dyDescent="0.25">
      <c r="A25" s="1" t="s">
        <v>133</v>
      </c>
      <c r="B25" s="6"/>
      <c r="C25" s="6"/>
      <c r="D25" s="6"/>
      <c r="E25" s="6"/>
    </row>
    <row r="26" spans="1:7" x14ac:dyDescent="0.25">
      <c r="A26" t="s">
        <v>206</v>
      </c>
      <c r="B26" s="2">
        <v>2500</v>
      </c>
      <c r="C26" s="6">
        <f>B26</f>
        <v>2500</v>
      </c>
      <c r="D26" s="6"/>
      <c r="E26" s="6"/>
      <c r="F26" s="3" t="s">
        <v>690</v>
      </c>
      <c r="G26" t="s">
        <v>691</v>
      </c>
    </row>
    <row r="27" spans="1:7" x14ac:dyDescent="0.25">
      <c r="A27" t="s">
        <v>213</v>
      </c>
      <c r="D27" s="6">
        <v>46.87</v>
      </c>
      <c r="E27" s="6">
        <f>D27</f>
        <v>46.87</v>
      </c>
    </row>
    <row r="28" spans="1:7" x14ac:dyDescent="0.25">
      <c r="A28" t="s">
        <v>692</v>
      </c>
      <c r="D28" s="6">
        <v>126</v>
      </c>
      <c r="E28" s="6">
        <f>D28</f>
        <v>126</v>
      </c>
    </row>
    <row r="29" spans="1:7" x14ac:dyDescent="0.25">
      <c r="A29" t="s">
        <v>693</v>
      </c>
      <c r="D29" s="6"/>
      <c r="E29" s="6">
        <v>22000</v>
      </c>
    </row>
    <row r="30" spans="1:7" x14ac:dyDescent="0.25">
      <c r="A30" t="s">
        <v>430</v>
      </c>
      <c r="D30" s="6">
        <v>144.37</v>
      </c>
      <c r="E30" s="6">
        <f>D30</f>
        <v>144.37</v>
      </c>
    </row>
    <row r="31" spans="1:7" x14ac:dyDescent="0.25">
      <c r="D31" s="6"/>
      <c r="E31" s="6"/>
    </row>
    <row r="32" spans="1:7" x14ac:dyDescent="0.25">
      <c r="A32" s="1" t="s">
        <v>168</v>
      </c>
      <c r="B32" s="7">
        <f>SUM(B4:B30)</f>
        <v>140555</v>
      </c>
      <c r="C32" s="7">
        <f>SUM(C4:C30)</f>
        <v>89555</v>
      </c>
      <c r="D32" s="7">
        <f>SUM(D4:D30)</f>
        <v>91898.409999999989</v>
      </c>
      <c r="E32" s="7">
        <f>SUM(E4:E30)</f>
        <v>113898.40999999999</v>
      </c>
    </row>
    <row r="33" spans="1:15" x14ac:dyDescent="0.25">
      <c r="B33" s="6"/>
      <c r="C33" s="6"/>
      <c r="D33" s="6"/>
      <c r="E33" s="6"/>
    </row>
    <row r="34" spans="1:15" ht="6.95" customHeight="1" x14ac:dyDescent="0.25">
      <c r="A34" s="8"/>
      <c r="B34" s="17"/>
      <c r="C34" s="17"/>
      <c r="D34" s="18"/>
      <c r="E34" s="18"/>
      <c r="F34" s="19"/>
      <c r="G34" s="8"/>
    </row>
    <row r="35" spans="1:15" x14ac:dyDescent="0.25">
      <c r="A35" s="1" t="s">
        <v>169</v>
      </c>
      <c r="B35" s="6"/>
      <c r="C35" s="6"/>
      <c r="D35" s="7"/>
      <c r="E35" s="7"/>
    </row>
    <row r="36" spans="1:15" x14ac:dyDescent="0.25">
      <c r="B36" s="6"/>
      <c r="C36" s="6"/>
      <c r="D36" s="6"/>
      <c r="E36" s="6"/>
      <c r="O36" s="15"/>
    </row>
    <row r="37" spans="1:15" x14ac:dyDescent="0.25">
      <c r="A37" t="s">
        <v>475</v>
      </c>
      <c r="B37" s="6">
        <v>-15389.32</v>
      </c>
      <c r="C37" s="6">
        <f t="shared" ref="C37:E41" si="0">B37</f>
        <v>-15389.32</v>
      </c>
      <c r="D37" s="6">
        <f t="shared" si="0"/>
        <v>-15389.32</v>
      </c>
      <c r="E37" s="6">
        <f t="shared" si="0"/>
        <v>-15389.32</v>
      </c>
      <c r="G37" t="s">
        <v>215</v>
      </c>
      <c r="O37" s="15"/>
    </row>
    <row r="38" spans="1:15" x14ac:dyDescent="0.25">
      <c r="A38" t="s">
        <v>395</v>
      </c>
      <c r="B38" s="6">
        <v>-15474.65</v>
      </c>
      <c r="C38" s="6">
        <f t="shared" si="0"/>
        <v>-15474.65</v>
      </c>
      <c r="D38" s="6">
        <f t="shared" si="0"/>
        <v>-15474.65</v>
      </c>
      <c r="E38" s="6">
        <f t="shared" si="0"/>
        <v>-15474.65</v>
      </c>
      <c r="G38" t="s">
        <v>215</v>
      </c>
    </row>
    <row r="39" spans="1:15" x14ac:dyDescent="0.25">
      <c r="A39" t="s">
        <v>396</v>
      </c>
      <c r="B39" s="6">
        <v>-4789.47</v>
      </c>
      <c r="C39" s="6">
        <f t="shared" si="0"/>
        <v>-4789.47</v>
      </c>
      <c r="D39" s="6">
        <f t="shared" si="0"/>
        <v>-4789.47</v>
      </c>
      <c r="E39" s="6">
        <f t="shared" si="0"/>
        <v>-4789.47</v>
      </c>
      <c r="G39" t="s">
        <v>215</v>
      </c>
    </row>
    <row r="40" spans="1:15" x14ac:dyDescent="0.25">
      <c r="A40" t="s">
        <v>397</v>
      </c>
      <c r="B40" s="6">
        <v>-108760.63</v>
      </c>
      <c r="C40" s="6">
        <f t="shared" si="0"/>
        <v>-108760.63</v>
      </c>
      <c r="D40" s="6">
        <f t="shared" si="0"/>
        <v>-108760.63</v>
      </c>
      <c r="E40" s="6">
        <f t="shared" si="0"/>
        <v>-108760.63</v>
      </c>
      <c r="G40" t="s">
        <v>694</v>
      </c>
    </row>
    <row r="41" spans="1:15" x14ac:dyDescent="0.25">
      <c r="A41" t="s">
        <v>398</v>
      </c>
      <c r="B41" s="6">
        <v>-3562</v>
      </c>
      <c r="C41" s="6">
        <f t="shared" si="0"/>
        <v>-3562</v>
      </c>
      <c r="D41" s="6">
        <f t="shared" si="0"/>
        <v>-3562</v>
      </c>
      <c r="E41" s="6">
        <f t="shared" si="0"/>
        <v>-3562</v>
      </c>
      <c r="G41" t="s">
        <v>695</v>
      </c>
    </row>
    <row r="42" spans="1:15" x14ac:dyDescent="0.25">
      <c r="A42" s="16"/>
      <c r="B42" s="6"/>
      <c r="C42" s="6"/>
    </row>
    <row r="43" spans="1:15" x14ac:dyDescent="0.25">
      <c r="A43" s="16"/>
      <c r="B43" s="6"/>
      <c r="C43" s="6"/>
      <c r="D43" s="6"/>
      <c r="E43" s="6"/>
    </row>
    <row r="44" spans="1:15" x14ac:dyDescent="0.25">
      <c r="A44" t="s">
        <v>696</v>
      </c>
      <c r="B44" s="6">
        <v>-15000</v>
      </c>
      <c r="C44" s="6">
        <f>B44</f>
        <v>-15000</v>
      </c>
      <c r="D44" s="6"/>
      <c r="E44" s="6"/>
      <c r="G44" t="s">
        <v>697</v>
      </c>
    </row>
    <row r="45" spans="1:15" x14ac:dyDescent="0.25">
      <c r="B45" s="6"/>
      <c r="C45" s="6"/>
      <c r="D45" s="6"/>
      <c r="E45" s="6"/>
    </row>
    <row r="46" spans="1:15" x14ac:dyDescent="0.25">
      <c r="B46" s="6"/>
      <c r="C46" s="6"/>
    </row>
    <row r="47" spans="1:15" x14ac:dyDescent="0.25">
      <c r="D47" s="6"/>
      <c r="E47" s="6"/>
    </row>
    <row r="48" spans="1:15" x14ac:dyDescent="0.25">
      <c r="B48" s="6"/>
      <c r="C48" s="6"/>
      <c r="G48" s="8"/>
      <c r="H48" s="8"/>
      <c r="I48" s="8"/>
      <c r="J48" s="8"/>
      <c r="K48" s="8"/>
      <c r="L48" s="8"/>
      <c r="M48" s="8"/>
    </row>
    <row r="49" spans="1:15" x14ac:dyDescent="0.25">
      <c r="B49" s="6"/>
      <c r="C49" s="6"/>
      <c r="D49" s="6"/>
      <c r="E49" s="6"/>
      <c r="G49" s="1" t="s">
        <v>698</v>
      </c>
      <c r="H49" s="5" t="s">
        <v>699</v>
      </c>
      <c r="K49" s="1" t="s">
        <v>700</v>
      </c>
      <c r="L49" s="5" t="s">
        <v>699</v>
      </c>
    </row>
    <row r="50" spans="1:15" s="3" customFormat="1" x14ac:dyDescent="0.25">
      <c r="A50"/>
      <c r="B50" s="2"/>
      <c r="C50" s="2"/>
      <c r="G50"/>
      <c r="H50"/>
      <c r="I50"/>
      <c r="J50"/>
      <c r="K50" t="s">
        <v>701</v>
      </c>
      <c r="L50" s="23">
        <v>42815</v>
      </c>
      <c r="M50" s="6">
        <v>-1980</v>
      </c>
      <c r="N50"/>
      <c r="O50"/>
    </row>
    <row r="51" spans="1:15" x14ac:dyDescent="0.25">
      <c r="A51" s="1" t="s">
        <v>183</v>
      </c>
      <c r="B51" s="7">
        <f>SUM(B37:B50)</f>
        <v>-162976.07</v>
      </c>
      <c r="C51" s="7">
        <f>B51</f>
        <v>-162976.07</v>
      </c>
      <c r="D51" s="7">
        <f>SUM(D37:D49)</f>
        <v>-147976.07</v>
      </c>
      <c r="E51" s="7">
        <f>D51</f>
        <v>-147976.07</v>
      </c>
      <c r="G51" t="s">
        <v>702</v>
      </c>
      <c r="I51" s="6">
        <v>-2667</v>
      </c>
      <c r="L51" s="23">
        <v>42804</v>
      </c>
    </row>
    <row r="53" spans="1:15" x14ac:dyDescent="0.25">
      <c r="A53" s="11" t="s">
        <v>703</v>
      </c>
      <c r="B53" s="10">
        <f>B1+B32+B51</f>
        <v>171499.13999999996</v>
      </c>
      <c r="C53" s="10">
        <f>C1+C32+C51</f>
        <v>120499.13999999996</v>
      </c>
      <c r="D53" s="10">
        <f>D1+D32+D51</f>
        <v>137842.54999999999</v>
      </c>
      <c r="E53" s="10">
        <f>E1+E32+E51</f>
        <v>159842.54999999999</v>
      </c>
      <c r="H53" s="9">
        <f>SUM(H50:H52)</f>
        <v>0</v>
      </c>
      <c r="I53" s="9">
        <f>SUM(I50:I52)</f>
        <v>-2667</v>
      </c>
      <c r="L53" s="9"/>
      <c r="M53" s="9">
        <f>SUM(M50:M50)</f>
        <v>-1980</v>
      </c>
    </row>
    <row r="55" spans="1:15" x14ac:dyDescent="0.25">
      <c r="E55" s="2" t="e">
        <f>#REF!-Mar!E53</f>
        <v>#REF!</v>
      </c>
    </row>
    <row r="56" spans="1:15" x14ac:dyDescent="0.25">
      <c r="B56" s="29" t="s">
        <v>704</v>
      </c>
    </row>
    <row r="57" spans="1:15" x14ac:dyDescent="0.25">
      <c r="B57" s="28">
        <v>42793</v>
      </c>
      <c r="C57" t="s">
        <v>705</v>
      </c>
      <c r="E57" s="27">
        <v>-2173.1999999999998</v>
      </c>
    </row>
    <row r="58" spans="1:15" x14ac:dyDescent="0.25">
      <c r="B58" s="28">
        <v>42794</v>
      </c>
      <c r="C58" t="s">
        <v>706</v>
      </c>
      <c r="E58" s="27">
        <v>-4011.6</v>
      </c>
    </row>
    <row r="59" spans="1:15" x14ac:dyDescent="0.25">
      <c r="B59" s="28">
        <v>42794</v>
      </c>
      <c r="C59" t="s">
        <v>707</v>
      </c>
      <c r="E59" s="27">
        <v>-18</v>
      </c>
    </row>
    <row r="60" spans="1:15" x14ac:dyDescent="0.25">
      <c r="B60" s="28">
        <v>42794</v>
      </c>
      <c r="C60" t="s">
        <v>708</v>
      </c>
      <c r="E60" s="27">
        <v>-1554</v>
      </c>
    </row>
    <row r="61" spans="1:15" x14ac:dyDescent="0.25">
      <c r="B61" s="28">
        <v>42794</v>
      </c>
      <c r="C61" t="s">
        <v>709</v>
      </c>
      <c r="E61" s="27">
        <v>-1415</v>
      </c>
    </row>
    <row r="63" spans="1:15" x14ac:dyDescent="0.25">
      <c r="E63" s="2">
        <f>SUM(E57:E62)</f>
        <v>-9171.7999999999993</v>
      </c>
    </row>
  </sheetData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Header>&amp;L&amp;"-,Bold"SPORTED FOUNDATION&amp;"-,Regular"
MARCH 2017 - PROJECTED CURRENT ACCOUNT BALANCE</oddHead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9">
    <pageSetUpPr fitToPage="1"/>
  </sheetPr>
  <dimension ref="A2:M50"/>
  <sheetViews>
    <sheetView zoomScale="80" zoomScaleNormal="80" workbookViewId="0">
      <selection activeCell="F16" sqref="F16"/>
    </sheetView>
  </sheetViews>
  <sheetFormatPr defaultRowHeight="15" x14ac:dyDescent="0.25"/>
  <cols>
    <col min="1" max="1" width="50" customWidth="1"/>
    <col min="2" max="3" width="13.42578125" style="2" customWidth="1"/>
    <col min="4" max="4" width="9.140625" style="3"/>
    <col min="5" max="5" width="35" customWidth="1"/>
    <col min="6" max="7" width="8.7109375" customWidth="1"/>
    <col min="8" max="8" width="1" customWidth="1"/>
    <col min="9" max="9" width="37.42578125" bestFit="1" customWidth="1"/>
    <col min="10" max="11" width="9.5703125" bestFit="1" customWidth="1"/>
    <col min="13" max="13" width="9.7109375" bestFit="1" customWidth="1"/>
  </cols>
  <sheetData>
    <row r="2" spans="1:5" x14ac:dyDescent="0.25">
      <c r="A2" s="1" t="s">
        <v>146</v>
      </c>
      <c r="B2" s="4" t="s">
        <v>630</v>
      </c>
      <c r="C2" s="4" t="s">
        <v>631</v>
      </c>
      <c r="D2" s="5" t="s">
        <v>149</v>
      </c>
      <c r="E2" s="1" t="s">
        <v>660</v>
      </c>
    </row>
    <row r="3" spans="1:5" x14ac:dyDescent="0.25">
      <c r="A3" s="1" t="s">
        <v>662</v>
      </c>
      <c r="B3" s="6"/>
      <c r="C3" s="6"/>
    </row>
    <row r="4" spans="1:5" x14ac:dyDescent="0.25">
      <c r="A4" t="s">
        <v>409</v>
      </c>
      <c r="B4" s="6">
        <v>12500</v>
      </c>
      <c r="C4" s="6">
        <v>12500</v>
      </c>
      <c r="D4" s="3" t="s">
        <v>207</v>
      </c>
      <c r="E4" s="13"/>
    </row>
    <row r="5" spans="1:5" x14ac:dyDescent="0.25">
      <c r="A5" s="1" t="s">
        <v>667</v>
      </c>
    </row>
    <row r="6" spans="1:5" x14ac:dyDescent="0.25">
      <c r="A6" t="s">
        <v>669</v>
      </c>
      <c r="B6" s="6">
        <v>2500</v>
      </c>
      <c r="C6" s="6"/>
      <c r="D6" s="3" t="s">
        <v>547</v>
      </c>
      <c r="E6" t="s">
        <v>710</v>
      </c>
    </row>
    <row r="7" spans="1:5" x14ac:dyDescent="0.25">
      <c r="A7" s="1" t="s">
        <v>676</v>
      </c>
      <c r="B7" s="6"/>
      <c r="C7" s="6"/>
    </row>
    <row r="8" spans="1:5" x14ac:dyDescent="0.25">
      <c r="A8" t="s">
        <v>711</v>
      </c>
      <c r="B8" s="6">
        <v>36000</v>
      </c>
      <c r="C8" s="6"/>
      <c r="D8" s="3" t="s">
        <v>207</v>
      </c>
      <c r="E8" t="s">
        <v>712</v>
      </c>
    </row>
    <row r="9" spans="1:5" x14ac:dyDescent="0.25">
      <c r="A9" t="s">
        <v>651</v>
      </c>
      <c r="B9" s="6">
        <v>9874</v>
      </c>
      <c r="C9" s="6">
        <v>15364.21</v>
      </c>
      <c r="D9" s="3" t="s">
        <v>159</v>
      </c>
      <c r="E9" t="s">
        <v>713</v>
      </c>
    </row>
    <row r="10" spans="1:5" x14ac:dyDescent="0.25">
      <c r="A10" t="s">
        <v>653</v>
      </c>
      <c r="B10" s="6">
        <v>3000</v>
      </c>
      <c r="C10" s="6">
        <v>3000</v>
      </c>
      <c r="D10" s="3" t="s">
        <v>159</v>
      </c>
      <c r="E10" t="s">
        <v>713</v>
      </c>
    </row>
    <row r="11" spans="1:5" x14ac:dyDescent="0.25">
      <c r="A11" t="s">
        <v>680</v>
      </c>
      <c r="B11" s="6">
        <v>30000</v>
      </c>
      <c r="C11" s="6"/>
      <c r="D11" s="3" t="s">
        <v>714</v>
      </c>
      <c r="E11" t="s">
        <v>715</v>
      </c>
    </row>
    <row r="12" spans="1:5" x14ac:dyDescent="0.25">
      <c r="A12" t="s">
        <v>716</v>
      </c>
      <c r="B12" s="6"/>
      <c r="C12" s="6">
        <v>6250</v>
      </c>
    </row>
    <row r="13" spans="1:5" x14ac:dyDescent="0.25">
      <c r="A13" s="1" t="s">
        <v>685</v>
      </c>
      <c r="B13" s="6"/>
      <c r="C13" s="6"/>
    </row>
    <row r="14" spans="1:5" x14ac:dyDescent="0.25">
      <c r="A14" t="s">
        <v>409</v>
      </c>
      <c r="B14" s="6">
        <v>12500</v>
      </c>
      <c r="C14" s="6">
        <v>12500</v>
      </c>
      <c r="D14" s="3" t="s">
        <v>207</v>
      </c>
      <c r="E14" s="13"/>
    </row>
    <row r="15" spans="1:5" x14ac:dyDescent="0.25">
      <c r="A15" s="1" t="s">
        <v>686</v>
      </c>
      <c r="B15" s="6"/>
      <c r="C15" s="6"/>
    </row>
    <row r="16" spans="1:5" ht="17.25" customHeight="1" x14ac:dyDescent="0.25">
      <c r="A16" t="s">
        <v>687</v>
      </c>
      <c r="B16" s="6">
        <v>10000</v>
      </c>
      <c r="C16" s="6">
        <v>0</v>
      </c>
      <c r="D16" s="3" t="s">
        <v>207</v>
      </c>
    </row>
    <row r="17" spans="1:13" ht="17.25" customHeight="1" x14ac:dyDescent="0.25">
      <c r="A17" t="s">
        <v>152</v>
      </c>
      <c r="B17" s="6"/>
      <c r="C17" s="6">
        <v>148.12</v>
      </c>
    </row>
    <row r="18" spans="1:13" ht="17.25" customHeight="1" x14ac:dyDescent="0.25">
      <c r="A18" t="s">
        <v>688</v>
      </c>
      <c r="B18" s="6">
        <v>50000</v>
      </c>
      <c r="C18" s="6"/>
    </row>
    <row r="19" spans="1:13" ht="17.25" customHeight="1" x14ac:dyDescent="0.25">
      <c r="A19" s="1" t="s">
        <v>133</v>
      </c>
      <c r="B19" s="6"/>
      <c r="C19" s="6"/>
    </row>
    <row r="20" spans="1:13" x14ac:dyDescent="0.25">
      <c r="A20" t="s">
        <v>717</v>
      </c>
      <c r="C20" s="6">
        <v>7500</v>
      </c>
      <c r="D20" s="3" t="s">
        <v>204</v>
      </c>
      <c r="E20" t="s">
        <v>713</v>
      </c>
    </row>
    <row r="21" spans="1:13" x14ac:dyDescent="0.25">
      <c r="A21" t="s">
        <v>692</v>
      </c>
      <c r="B21" s="6"/>
      <c r="C21" s="6">
        <v>8.42</v>
      </c>
    </row>
    <row r="22" spans="1:13" x14ac:dyDescent="0.25">
      <c r="B22" s="6"/>
      <c r="C22" s="6"/>
    </row>
    <row r="23" spans="1:13" x14ac:dyDescent="0.25">
      <c r="C23" s="6"/>
    </row>
    <row r="24" spans="1:13" x14ac:dyDescent="0.25">
      <c r="B24" s="7">
        <f>SUM(B4:B23)</f>
        <v>166374</v>
      </c>
      <c r="C24" s="7">
        <f>SUM(C4:C23)</f>
        <v>57270.75</v>
      </c>
    </row>
    <row r="25" spans="1:13" x14ac:dyDescent="0.25">
      <c r="B25" s="6"/>
      <c r="C25" s="6"/>
    </row>
    <row r="26" spans="1:13" x14ac:dyDescent="0.25">
      <c r="B26" s="6"/>
      <c r="C26" s="6"/>
    </row>
    <row r="27" spans="1:13" x14ac:dyDescent="0.25">
      <c r="A27" s="11" t="s">
        <v>718</v>
      </c>
      <c r="B27" s="10"/>
      <c r="C27" s="10">
        <v>53376.09</v>
      </c>
    </row>
    <row r="28" spans="1:13" ht="6.95" customHeight="1" x14ac:dyDescent="0.25">
      <c r="B28" s="6"/>
      <c r="C28" s="7"/>
    </row>
    <row r="29" spans="1:13" x14ac:dyDescent="0.25">
      <c r="A29" s="1" t="s">
        <v>719</v>
      </c>
      <c r="B29" s="6"/>
      <c r="C29" s="7">
        <f>C24</f>
        <v>57270.75</v>
      </c>
    </row>
    <row r="30" spans="1:13" ht="6.95" customHeight="1" x14ac:dyDescent="0.25">
      <c r="B30" s="6"/>
      <c r="C30" s="7"/>
      <c r="E30" s="8"/>
      <c r="F30" s="8"/>
      <c r="G30" s="8"/>
      <c r="H30" s="8"/>
      <c r="I30" s="8"/>
      <c r="J30" s="8"/>
      <c r="K30" s="8"/>
      <c r="L30" s="8"/>
    </row>
    <row r="31" spans="1:13" x14ac:dyDescent="0.25">
      <c r="A31" s="1" t="s">
        <v>169</v>
      </c>
      <c r="B31" s="6"/>
      <c r="C31" s="7"/>
      <c r="E31" s="1" t="s">
        <v>698</v>
      </c>
      <c r="F31" s="5" t="s">
        <v>699</v>
      </c>
      <c r="I31" s="1" t="s">
        <v>700</v>
      </c>
      <c r="J31" s="5" t="s">
        <v>699</v>
      </c>
      <c r="L31" t="s">
        <v>720</v>
      </c>
    </row>
    <row r="32" spans="1:13" x14ac:dyDescent="0.25">
      <c r="B32" s="6"/>
      <c r="C32" s="6"/>
      <c r="E32" t="s">
        <v>721</v>
      </c>
      <c r="F32" s="6">
        <v>-5649</v>
      </c>
      <c r="G32" s="6"/>
      <c r="I32" t="s">
        <v>722</v>
      </c>
      <c r="J32" s="6">
        <v>-6120</v>
      </c>
      <c r="M32" s="15"/>
    </row>
    <row r="33" spans="1:13" x14ac:dyDescent="0.25">
      <c r="A33" t="s">
        <v>723</v>
      </c>
      <c r="B33" s="6">
        <v>-11327</v>
      </c>
      <c r="C33" s="6"/>
      <c r="E33" t="s">
        <v>724</v>
      </c>
      <c r="F33" s="6">
        <v>-3500</v>
      </c>
      <c r="G33" s="6">
        <v>-3500</v>
      </c>
      <c r="I33" t="s">
        <v>725</v>
      </c>
      <c r="J33" s="6">
        <v>-1987.56</v>
      </c>
      <c r="M33" s="15"/>
    </row>
    <row r="34" spans="1:13" x14ac:dyDescent="0.25">
      <c r="A34" t="s">
        <v>472</v>
      </c>
      <c r="B34" s="6">
        <v>-6843</v>
      </c>
      <c r="C34" s="6"/>
      <c r="E34" t="s">
        <v>726</v>
      </c>
      <c r="F34" s="6">
        <v>-6817</v>
      </c>
      <c r="G34" s="6"/>
      <c r="I34" t="s">
        <v>701</v>
      </c>
      <c r="K34" s="6">
        <v>-1980</v>
      </c>
    </row>
    <row r="35" spans="1:13" x14ac:dyDescent="0.25">
      <c r="A35" t="s">
        <v>473</v>
      </c>
      <c r="B35" s="6">
        <v>-10415.790000000001</v>
      </c>
      <c r="C35" s="6"/>
      <c r="E35" s="14" t="s">
        <v>727</v>
      </c>
      <c r="F35" s="6">
        <v>0</v>
      </c>
      <c r="G35" s="6">
        <v>0</v>
      </c>
      <c r="I35" t="s">
        <v>728</v>
      </c>
      <c r="K35" s="6">
        <v>-290</v>
      </c>
    </row>
    <row r="36" spans="1:13" x14ac:dyDescent="0.25">
      <c r="A36" t="s">
        <v>729</v>
      </c>
      <c r="B36" s="6">
        <v>-3593.82</v>
      </c>
      <c r="E36" t="s">
        <v>730</v>
      </c>
      <c r="F36" s="6">
        <v>-1228</v>
      </c>
      <c r="G36" s="6"/>
      <c r="I36" t="s">
        <v>731</v>
      </c>
      <c r="J36" s="6">
        <v>-6817</v>
      </c>
    </row>
    <row r="37" spans="1:13" x14ac:dyDescent="0.25">
      <c r="A37" t="s">
        <v>732</v>
      </c>
      <c r="B37" s="6">
        <v>-35772</v>
      </c>
      <c r="C37" s="6"/>
      <c r="E37" t="s">
        <v>733</v>
      </c>
      <c r="F37" s="6">
        <v>-6000.92</v>
      </c>
      <c r="G37" s="6">
        <v>-6000.92</v>
      </c>
      <c r="I37" t="s">
        <v>734</v>
      </c>
      <c r="J37" s="6">
        <v>-240</v>
      </c>
    </row>
    <row r="38" spans="1:13" x14ac:dyDescent="0.25">
      <c r="A38" t="s">
        <v>735</v>
      </c>
      <c r="B38" s="6">
        <v>-71905</v>
      </c>
    </row>
    <row r="39" spans="1:13" x14ac:dyDescent="0.25">
      <c r="A39" t="s">
        <v>736</v>
      </c>
      <c r="B39" s="6">
        <v>-28731</v>
      </c>
      <c r="C39" s="6"/>
      <c r="E39" t="s">
        <v>737</v>
      </c>
      <c r="G39" s="6">
        <v>-2667</v>
      </c>
    </row>
    <row r="40" spans="1:13" x14ac:dyDescent="0.25">
      <c r="A40" t="s">
        <v>301</v>
      </c>
      <c r="C40" s="6"/>
    </row>
    <row r="41" spans="1:13" x14ac:dyDescent="0.25">
      <c r="B41" s="6"/>
      <c r="C41" s="6"/>
      <c r="F41" s="9">
        <f>SUM(F32:F37)</f>
        <v>-23194.92</v>
      </c>
      <c r="G41" s="9">
        <f>SUM(G32:G40)</f>
        <v>-12167.92</v>
      </c>
      <c r="J41" s="9"/>
      <c r="K41" s="9">
        <f>SUM(K32:K37)</f>
        <v>-2270</v>
      </c>
    </row>
    <row r="42" spans="1:13" x14ac:dyDescent="0.25">
      <c r="A42" t="s">
        <v>738</v>
      </c>
      <c r="B42" s="6">
        <f>G41</f>
        <v>-12167.92</v>
      </c>
    </row>
    <row r="43" spans="1:13" x14ac:dyDescent="0.25">
      <c r="A43" t="s">
        <v>739</v>
      </c>
      <c r="B43" s="6">
        <f>K41</f>
        <v>-2270</v>
      </c>
      <c r="C43" s="6"/>
    </row>
    <row r="44" spans="1:13" x14ac:dyDescent="0.25">
      <c r="B44" s="6"/>
      <c r="C44" s="6"/>
    </row>
    <row r="45" spans="1:13" x14ac:dyDescent="0.25">
      <c r="A45" t="s">
        <v>740</v>
      </c>
      <c r="B45" s="6"/>
      <c r="C45" s="6"/>
    </row>
    <row r="46" spans="1:13" x14ac:dyDescent="0.25">
      <c r="A46" t="s">
        <v>741</v>
      </c>
      <c r="B46" s="6">
        <v>25000</v>
      </c>
      <c r="C46" s="6"/>
      <c r="I46" t="s">
        <v>742</v>
      </c>
      <c r="L46" s="6">
        <v>-1536.19</v>
      </c>
    </row>
    <row r="48" spans="1:13" x14ac:dyDescent="0.25">
      <c r="A48" t="s">
        <v>183</v>
      </c>
      <c r="C48" s="6">
        <f>SUM(B32:B47)</f>
        <v>-158025.53</v>
      </c>
    </row>
    <row r="50" spans="1:3" x14ac:dyDescent="0.25">
      <c r="A50" s="11" t="s">
        <v>743</v>
      </c>
      <c r="B50" s="12"/>
      <c r="C50" s="10">
        <f>SUM(C27:C48)</f>
        <v>-47378.69</v>
      </c>
    </row>
  </sheetData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&amp;L&amp;"-,Bold"SPORTED FOUNDATION&amp;"-,Regular"
FEBRUARY 2017 - PROJECTED CURRENT ACCOUNT BALANCE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0"/>
  <dimension ref="A2:K38"/>
  <sheetViews>
    <sheetView zoomScale="80" zoomScaleNormal="80" workbookViewId="0">
      <selection activeCell="B57" sqref="B57"/>
    </sheetView>
  </sheetViews>
  <sheetFormatPr defaultRowHeight="15" x14ac:dyDescent="0.25"/>
  <cols>
    <col min="1" max="1" width="32.5703125" bestFit="1" customWidth="1"/>
    <col min="2" max="3" width="13.42578125" style="2" customWidth="1"/>
    <col min="4" max="4" width="9.140625" style="3"/>
    <col min="5" max="5" width="32.5703125" bestFit="1" customWidth="1"/>
    <col min="6" max="6" width="8.7109375" customWidth="1"/>
    <col min="7" max="7" width="1" customWidth="1"/>
    <col min="8" max="8" width="30.7109375" customWidth="1"/>
    <col min="9" max="9" width="9.5703125" bestFit="1" customWidth="1"/>
    <col min="11" max="11" width="10.5703125" bestFit="1" customWidth="1"/>
  </cols>
  <sheetData>
    <row r="2" spans="1:8" x14ac:dyDescent="0.25">
      <c r="A2" s="1" t="s">
        <v>146</v>
      </c>
      <c r="B2" s="4" t="s">
        <v>630</v>
      </c>
      <c r="C2" s="4" t="s">
        <v>631</v>
      </c>
      <c r="D2" s="5" t="s">
        <v>149</v>
      </c>
      <c r="E2" s="1" t="s">
        <v>660</v>
      </c>
    </row>
    <row r="3" spans="1:8" x14ac:dyDescent="0.25">
      <c r="A3" s="1" t="s">
        <v>667</v>
      </c>
    </row>
    <row r="4" spans="1:8" x14ac:dyDescent="0.25">
      <c r="A4" t="s">
        <v>744</v>
      </c>
      <c r="B4" s="6">
        <v>49620</v>
      </c>
      <c r="C4" s="6">
        <f>B4</f>
        <v>49620</v>
      </c>
      <c r="D4" s="3" t="s">
        <v>745</v>
      </c>
      <c r="E4" t="s">
        <v>715</v>
      </c>
      <c r="H4" t="s">
        <v>746</v>
      </c>
    </row>
    <row r="5" spans="1:8" x14ac:dyDescent="0.25">
      <c r="A5" t="s">
        <v>747</v>
      </c>
      <c r="B5" s="6">
        <v>2500</v>
      </c>
      <c r="C5" s="6"/>
      <c r="D5" s="3" t="s">
        <v>547</v>
      </c>
      <c r="E5" t="s">
        <v>710</v>
      </c>
    </row>
    <row r="6" spans="1:8" x14ac:dyDescent="0.25">
      <c r="A6" s="1" t="s">
        <v>676</v>
      </c>
      <c r="B6" s="6"/>
      <c r="C6" s="6"/>
    </row>
    <row r="7" spans="1:8" x14ac:dyDescent="0.25">
      <c r="A7" t="s">
        <v>711</v>
      </c>
      <c r="B7" s="6">
        <v>36000</v>
      </c>
      <c r="C7" s="6"/>
      <c r="D7" s="3" t="s">
        <v>207</v>
      </c>
      <c r="E7" t="s">
        <v>712</v>
      </c>
    </row>
    <row r="8" spans="1:8" x14ac:dyDescent="0.25">
      <c r="A8" t="s">
        <v>651</v>
      </c>
      <c r="B8" s="6">
        <v>9874</v>
      </c>
      <c r="C8" s="6"/>
      <c r="D8" s="3" t="s">
        <v>159</v>
      </c>
      <c r="E8" t="s">
        <v>715</v>
      </c>
    </row>
    <row r="9" spans="1:8" x14ac:dyDescent="0.25">
      <c r="A9" t="s">
        <v>653</v>
      </c>
      <c r="B9" s="6">
        <v>3000</v>
      </c>
      <c r="C9" s="6"/>
      <c r="D9" s="3" t="s">
        <v>159</v>
      </c>
      <c r="E9" t="s">
        <v>715</v>
      </c>
    </row>
    <row r="10" spans="1:8" x14ac:dyDescent="0.25">
      <c r="A10" t="s">
        <v>680</v>
      </c>
      <c r="B10" s="6">
        <v>30000</v>
      </c>
      <c r="C10" s="6"/>
      <c r="D10" s="3" t="s">
        <v>714</v>
      </c>
      <c r="E10" t="s">
        <v>715</v>
      </c>
    </row>
    <row r="11" spans="1:8" x14ac:dyDescent="0.25">
      <c r="A11" s="1" t="s">
        <v>685</v>
      </c>
      <c r="B11" s="6"/>
      <c r="C11" s="6"/>
    </row>
    <row r="12" spans="1:8" x14ac:dyDescent="0.25">
      <c r="A12" t="s">
        <v>409</v>
      </c>
      <c r="B12" s="6">
        <v>12500</v>
      </c>
      <c r="C12" s="6">
        <v>0</v>
      </c>
      <c r="D12" s="3" t="s">
        <v>207</v>
      </c>
      <c r="E12" s="13" t="s">
        <v>748</v>
      </c>
    </row>
    <row r="13" spans="1:8" x14ac:dyDescent="0.25">
      <c r="A13" s="1" t="s">
        <v>686</v>
      </c>
      <c r="B13" s="6"/>
      <c r="C13" s="6"/>
    </row>
    <row r="14" spans="1:8" ht="17.25" customHeight="1" x14ac:dyDescent="0.25">
      <c r="A14" t="s">
        <v>687</v>
      </c>
      <c r="B14" s="6">
        <v>15000</v>
      </c>
      <c r="C14" s="6">
        <v>5000</v>
      </c>
      <c r="E14" t="s">
        <v>749</v>
      </c>
    </row>
    <row r="15" spans="1:8" ht="17.25" customHeight="1" x14ac:dyDescent="0.25">
      <c r="A15" s="1" t="s">
        <v>133</v>
      </c>
      <c r="B15" s="6"/>
      <c r="C15" s="6"/>
    </row>
    <row r="16" spans="1:8" x14ac:dyDescent="0.25">
      <c r="A16" t="s">
        <v>750</v>
      </c>
      <c r="B16" s="6">
        <v>15808</v>
      </c>
      <c r="C16" s="6"/>
      <c r="D16" s="3" t="s">
        <v>714</v>
      </c>
    </row>
    <row r="17" spans="1:11" x14ac:dyDescent="0.25">
      <c r="B17" s="6"/>
      <c r="C17" s="6"/>
    </row>
    <row r="18" spans="1:11" x14ac:dyDescent="0.25">
      <c r="B18" s="7">
        <f>SUM(B4:B16)</f>
        <v>174302</v>
      </c>
      <c r="C18" s="7">
        <f>SUM(C4:C16)</f>
        <v>54620</v>
      </c>
    </row>
    <row r="19" spans="1:11" x14ac:dyDescent="0.25">
      <c r="B19" s="6"/>
      <c r="C19" s="6"/>
    </row>
    <row r="20" spans="1:11" x14ac:dyDescent="0.25">
      <c r="B20" s="6"/>
      <c r="C20" s="6"/>
    </row>
    <row r="21" spans="1:11" x14ac:dyDescent="0.25">
      <c r="A21" s="11" t="s">
        <v>751</v>
      </c>
      <c r="B21" s="10"/>
      <c r="C21" s="10">
        <v>124530.77</v>
      </c>
    </row>
    <row r="22" spans="1:11" ht="6.95" customHeight="1" x14ac:dyDescent="0.25">
      <c r="B22" s="6"/>
      <c r="C22" s="7"/>
    </row>
    <row r="23" spans="1:11" x14ac:dyDescent="0.25">
      <c r="A23" s="1" t="s">
        <v>719</v>
      </c>
      <c r="B23" s="6"/>
      <c r="C23" s="7">
        <f>C18</f>
        <v>54620</v>
      </c>
    </row>
    <row r="24" spans="1:11" ht="6.95" customHeight="1" x14ac:dyDescent="0.25">
      <c r="B24" s="6"/>
      <c r="C24" s="7"/>
      <c r="E24" s="8"/>
      <c r="F24" s="8"/>
      <c r="G24" s="8"/>
      <c r="H24" s="8"/>
      <c r="I24" s="8"/>
      <c r="J24" s="8"/>
    </row>
    <row r="25" spans="1:11" x14ac:dyDescent="0.25">
      <c r="A25" s="1" t="s">
        <v>169</v>
      </c>
      <c r="B25" s="6"/>
      <c r="C25" s="7"/>
      <c r="E25" s="1" t="s">
        <v>698</v>
      </c>
      <c r="H25" s="1" t="s">
        <v>700</v>
      </c>
      <c r="J25" t="s">
        <v>720</v>
      </c>
    </row>
    <row r="26" spans="1:11" x14ac:dyDescent="0.25">
      <c r="A26" t="s">
        <v>752</v>
      </c>
      <c r="B26" s="6">
        <v>-34989</v>
      </c>
      <c r="C26" s="6"/>
      <c r="E26" t="s">
        <v>753</v>
      </c>
      <c r="F26" s="6">
        <v>-5649</v>
      </c>
      <c r="H26" t="s">
        <v>722</v>
      </c>
      <c r="J26" s="6">
        <v>-6210</v>
      </c>
      <c r="K26" s="15">
        <v>42767</v>
      </c>
    </row>
    <row r="27" spans="1:11" x14ac:dyDescent="0.25">
      <c r="A27" t="s">
        <v>754</v>
      </c>
      <c r="B27" s="6">
        <v>-75000</v>
      </c>
      <c r="C27" s="6"/>
      <c r="E27" t="s">
        <v>755</v>
      </c>
      <c r="F27" s="6">
        <v>-3500</v>
      </c>
      <c r="H27" t="s">
        <v>725</v>
      </c>
      <c r="J27" s="6">
        <v>-1987.56</v>
      </c>
      <c r="K27" s="15">
        <v>42766</v>
      </c>
    </row>
    <row r="28" spans="1:11" x14ac:dyDescent="0.25">
      <c r="A28" t="s">
        <v>756</v>
      </c>
      <c r="B28" s="6">
        <v>-17458</v>
      </c>
      <c r="C28" s="6"/>
      <c r="E28" t="s">
        <v>757</v>
      </c>
      <c r="F28" s="6">
        <v>-6817</v>
      </c>
      <c r="H28" t="s">
        <v>701</v>
      </c>
      <c r="J28" s="6">
        <v>-1980</v>
      </c>
    </row>
    <row r="29" spans="1:11" x14ac:dyDescent="0.25">
      <c r="A29" t="s">
        <v>758</v>
      </c>
      <c r="B29" s="6">
        <v>-10655</v>
      </c>
      <c r="C29" s="6"/>
      <c r="E29" s="14" t="s">
        <v>727</v>
      </c>
      <c r="F29" s="6">
        <v>0</v>
      </c>
      <c r="H29" t="s">
        <v>759</v>
      </c>
      <c r="J29" s="6">
        <v>-290</v>
      </c>
    </row>
    <row r="30" spans="1:11" x14ac:dyDescent="0.25">
      <c r="A30" t="s">
        <v>760</v>
      </c>
      <c r="B30" s="6">
        <v>-10959</v>
      </c>
      <c r="C30" s="6"/>
      <c r="E30" t="s">
        <v>730</v>
      </c>
      <c r="F30" s="6">
        <v>-1228</v>
      </c>
      <c r="H30" t="s">
        <v>731</v>
      </c>
      <c r="I30" s="6">
        <v>-6817</v>
      </c>
    </row>
    <row r="31" spans="1:11" x14ac:dyDescent="0.25">
      <c r="A31" t="s">
        <v>738</v>
      </c>
      <c r="B31" s="6">
        <f>F36</f>
        <v>-23194.92</v>
      </c>
      <c r="C31" s="6"/>
      <c r="E31" t="s">
        <v>733</v>
      </c>
      <c r="F31" s="6">
        <v>-6000.92</v>
      </c>
      <c r="H31" t="s">
        <v>761</v>
      </c>
      <c r="J31" s="6">
        <v>-240</v>
      </c>
    </row>
    <row r="32" spans="1:11" x14ac:dyDescent="0.25">
      <c r="A32" t="s">
        <v>739</v>
      </c>
      <c r="B32" s="6">
        <f>I36</f>
        <v>-6817</v>
      </c>
      <c r="C32" s="6"/>
    </row>
    <row r="33" spans="1:10" x14ac:dyDescent="0.25">
      <c r="A33" t="s">
        <v>762</v>
      </c>
      <c r="B33" s="6">
        <v>-2641.26</v>
      </c>
    </row>
    <row r="34" spans="1:10" x14ac:dyDescent="0.25">
      <c r="A34" t="s">
        <v>183</v>
      </c>
      <c r="C34" s="6">
        <f>SUM(B26:B33)</f>
        <v>-181714.18</v>
      </c>
    </row>
    <row r="35" spans="1:10" ht="6.95" customHeight="1" x14ac:dyDescent="0.25"/>
    <row r="36" spans="1:10" x14ac:dyDescent="0.25">
      <c r="A36" s="11" t="s">
        <v>763</v>
      </c>
      <c r="B36" s="12"/>
      <c r="C36" s="10">
        <f>SUM(C21:C34)</f>
        <v>-2563.4099999999744</v>
      </c>
      <c r="F36" s="9">
        <f>SUM(F26:F31)</f>
        <v>-23194.92</v>
      </c>
      <c r="I36" s="9">
        <f>SUM(I26:I31)</f>
        <v>-6817</v>
      </c>
    </row>
    <row r="38" spans="1:10" x14ac:dyDescent="0.25">
      <c r="H38" t="s">
        <v>742</v>
      </c>
      <c r="J38" s="6">
        <v>-1536.19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&amp;L&amp;"-,Bold"SPORTED FOUNDATION&amp;"-,Regular"
JANUARY 2017 - PROJECTED CURRENT ACCOUNT BALANCE</oddHead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1"/>
  <sheetViews>
    <sheetView workbookViewId="0">
      <selection activeCell="G8" sqref="G8:P8"/>
    </sheetView>
  </sheetViews>
  <sheetFormatPr defaultRowHeight="15" x14ac:dyDescent="0.25"/>
  <cols>
    <col min="3" max="3" width="23.28515625" customWidth="1"/>
    <col min="5" max="6" width="3.85546875" customWidth="1"/>
    <col min="7" max="7" width="11" customWidth="1"/>
    <col min="8" max="9" width="3.85546875" customWidth="1"/>
    <col min="11" max="11" width="3.85546875" customWidth="1"/>
    <col min="13" max="13" width="29.5703125" customWidth="1"/>
  </cols>
  <sheetData>
    <row r="1" spans="1:13" x14ac:dyDescent="0.25">
      <c r="A1" s="1" t="s">
        <v>764</v>
      </c>
    </row>
    <row r="4" spans="1:13" ht="45" x14ac:dyDescent="0.25">
      <c r="D4" s="1" t="s">
        <v>765</v>
      </c>
      <c r="E4" s="1"/>
      <c r="F4" s="1"/>
      <c r="G4" s="36" t="s">
        <v>766</v>
      </c>
      <c r="H4" s="1"/>
      <c r="I4" s="1"/>
      <c r="J4" s="1" t="s">
        <v>767</v>
      </c>
      <c r="K4" s="1"/>
      <c r="L4" s="1" t="s">
        <v>768</v>
      </c>
    </row>
    <row r="5" spans="1:13" x14ac:dyDescent="0.25">
      <c r="D5" t="s">
        <v>19</v>
      </c>
      <c r="G5" t="s">
        <v>19</v>
      </c>
      <c r="J5" t="s">
        <v>19</v>
      </c>
      <c r="L5" t="s">
        <v>19</v>
      </c>
    </row>
    <row r="6" spans="1:13" x14ac:dyDescent="0.25">
      <c r="A6" t="s">
        <v>769</v>
      </c>
      <c r="D6">
        <f>+G6</f>
        <v>73</v>
      </c>
      <c r="G6">
        <v>73</v>
      </c>
      <c r="J6" s="146">
        <f>+D6-G6</f>
        <v>0</v>
      </c>
    </row>
    <row r="8" spans="1:13" x14ac:dyDescent="0.25">
      <c r="A8" t="s">
        <v>770</v>
      </c>
      <c r="D8" s="77">
        <v>217</v>
      </c>
      <c r="G8">
        <v>241</v>
      </c>
      <c r="J8" s="77">
        <f>+D8-G8</f>
        <v>-24</v>
      </c>
    </row>
    <row r="9" spans="1:13" x14ac:dyDescent="0.25">
      <c r="A9" t="s">
        <v>771</v>
      </c>
      <c r="D9" s="146">
        <v>0</v>
      </c>
      <c r="G9" s="140">
        <v>-72</v>
      </c>
      <c r="J9" s="140">
        <f>+D9-G9</f>
        <v>72</v>
      </c>
    </row>
    <row r="10" spans="1:13" x14ac:dyDescent="0.25">
      <c r="A10" t="s">
        <v>772</v>
      </c>
      <c r="D10">
        <v>238</v>
      </c>
      <c r="G10">
        <v>238</v>
      </c>
      <c r="J10" s="140">
        <f>+D10-G10</f>
        <v>0</v>
      </c>
    </row>
    <row r="11" spans="1:13" x14ac:dyDescent="0.25">
      <c r="A11" t="s">
        <v>773</v>
      </c>
      <c r="D11" s="77">
        <f>(8633+1873+20000+1665+49+299)/1000</f>
        <v>32.518999999999998</v>
      </c>
      <c r="G11" s="146">
        <v>0</v>
      </c>
      <c r="J11" s="140">
        <f>+D11-G11</f>
        <v>32.518999999999998</v>
      </c>
      <c r="L11" s="77">
        <f>SUM(J8:J11)</f>
        <v>80.519000000000005</v>
      </c>
    </row>
    <row r="12" spans="1:13" x14ac:dyDescent="0.25">
      <c r="D12" s="77"/>
      <c r="G12" s="3"/>
    </row>
    <row r="13" spans="1:13" x14ac:dyDescent="0.25">
      <c r="A13" t="s">
        <v>774</v>
      </c>
      <c r="D13" s="140" t="e">
        <f>(+'Cash flow proforma 20-21'!#REF!+'Cash flow proforma 20-21'!#REF!)/1000</f>
        <v>#REF!</v>
      </c>
      <c r="G13" s="140">
        <v>-437</v>
      </c>
      <c r="J13" s="140" t="e">
        <f>+D13-G13</f>
        <v>#REF!</v>
      </c>
    </row>
    <row r="14" spans="1:13" x14ac:dyDescent="0.25">
      <c r="A14" t="s">
        <v>775</v>
      </c>
      <c r="D14" s="140" t="e">
        <f>+'Cash flow proforma 20-21'!#REF!/1000</f>
        <v>#REF!</v>
      </c>
      <c r="G14" s="146">
        <v>0</v>
      </c>
      <c r="J14" s="140" t="e">
        <f>+D14-G14</f>
        <v>#REF!</v>
      </c>
      <c r="L14" s="140" t="e">
        <f>SUM(J13:J14)</f>
        <v>#REF!</v>
      </c>
      <c r="M14" t="s">
        <v>776</v>
      </c>
    </row>
    <row r="15" spans="1:13" x14ac:dyDescent="0.25">
      <c r="D15" s="93"/>
      <c r="G15" s="93"/>
      <c r="J15" s="93"/>
    </row>
    <row r="16" spans="1:13" x14ac:dyDescent="0.25">
      <c r="A16" t="s">
        <v>777</v>
      </c>
      <c r="D16" s="77" t="e">
        <f>SUM(D6:D14)</f>
        <v>#REF!</v>
      </c>
      <c r="G16">
        <f>SUM(G6:G14)</f>
        <v>43</v>
      </c>
      <c r="J16" s="77" t="e">
        <f>SUM(J6:J14)</f>
        <v>#REF!</v>
      </c>
    </row>
    <row r="17" spans="1:13" x14ac:dyDescent="0.25">
      <c r="D17" s="77"/>
    </row>
    <row r="18" spans="1:13" x14ac:dyDescent="0.25">
      <c r="A18" t="s">
        <v>778</v>
      </c>
      <c r="D18" s="77">
        <v>120</v>
      </c>
      <c r="G18">
        <v>282</v>
      </c>
      <c r="J18" s="140">
        <f>+D18-G18</f>
        <v>-162</v>
      </c>
      <c r="L18" s="140">
        <f>+J18</f>
        <v>-162</v>
      </c>
      <c r="M18" t="s">
        <v>779</v>
      </c>
    </row>
    <row r="19" spans="1:13" x14ac:dyDescent="0.25">
      <c r="D19" s="77"/>
    </row>
    <row r="20" spans="1:13" ht="15.75" thickBot="1" x14ac:dyDescent="0.3">
      <c r="A20" t="s">
        <v>780</v>
      </c>
      <c r="D20" s="142" t="e">
        <f>SUM(D16:D18)</f>
        <v>#REF!</v>
      </c>
      <c r="G20" s="141">
        <f>SUM(G16:G18)</f>
        <v>325</v>
      </c>
      <c r="J20" s="143" t="e">
        <f>+D20-G20</f>
        <v>#REF!</v>
      </c>
      <c r="L20" s="143" t="e">
        <f>SUM(L10:L18)</f>
        <v>#REF!</v>
      </c>
    </row>
    <row r="21" spans="1:13" ht="15.75" thickTop="1" x14ac:dyDescent="0.25">
      <c r="D21" s="77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46"/>
  <dimension ref="A1:T25"/>
  <sheetViews>
    <sheetView topLeftCell="A28" workbookViewId="0">
      <selection activeCell="G8" sqref="G8:P8"/>
    </sheetView>
  </sheetViews>
  <sheetFormatPr defaultRowHeight="15" x14ac:dyDescent="0.25"/>
  <cols>
    <col min="1" max="1" width="22.5703125" customWidth="1"/>
    <col min="2" max="3" width="11.5703125" bestFit="1" customWidth="1"/>
  </cols>
  <sheetData>
    <row r="1" spans="1:13" x14ac:dyDescent="0.25">
      <c r="A1" s="1" t="s">
        <v>781</v>
      </c>
    </row>
    <row r="3" spans="1:13" x14ac:dyDescent="0.25">
      <c r="B3" s="76">
        <v>43101</v>
      </c>
      <c r="C3" s="76">
        <v>43132</v>
      </c>
      <c r="D3" s="76">
        <v>43160</v>
      </c>
      <c r="E3" s="76">
        <v>43191</v>
      </c>
      <c r="F3" s="76">
        <v>43221</v>
      </c>
      <c r="G3" s="76">
        <v>43252</v>
      </c>
      <c r="H3" s="76">
        <v>43282</v>
      </c>
      <c r="I3" s="76">
        <v>43313</v>
      </c>
      <c r="J3" s="76">
        <v>43344</v>
      </c>
      <c r="K3" s="76">
        <v>43374</v>
      </c>
      <c r="L3" s="76">
        <v>43405</v>
      </c>
      <c r="M3" s="76">
        <v>43435</v>
      </c>
    </row>
    <row r="4" spans="1:13" x14ac:dyDescent="0.25">
      <c r="A4" t="s">
        <v>782</v>
      </c>
      <c r="B4" s="2">
        <v>215.60699999999997</v>
      </c>
      <c r="C4" s="2">
        <v>188.21199999999999</v>
      </c>
      <c r="D4" s="2">
        <v>235.899</v>
      </c>
      <c r="E4" s="2">
        <v>277.38900000000001</v>
      </c>
      <c r="F4" s="2">
        <v>213.76432650000004</v>
      </c>
      <c r="G4" s="2">
        <v>409.55765299999996</v>
      </c>
      <c r="H4" s="2">
        <v>406.64097949999996</v>
      </c>
      <c r="I4" s="2">
        <v>462.79430600000001</v>
      </c>
      <c r="J4" s="2">
        <v>443.67763249999996</v>
      </c>
      <c r="K4" s="2">
        <v>374.06095899999991</v>
      </c>
      <c r="L4" s="2">
        <v>275.10195899999997</v>
      </c>
      <c r="M4" s="2">
        <v>322.40195899999998</v>
      </c>
    </row>
    <row r="5" spans="1:13" x14ac:dyDescent="0.25">
      <c r="A5" t="s">
        <v>783</v>
      </c>
      <c r="B5" s="2">
        <f>'Jan 18'!C53/1000</f>
        <v>121.11720000000001</v>
      </c>
      <c r="C5" s="2">
        <f>'Feb 18'!C51/1000</f>
        <v>37.414580000000015</v>
      </c>
      <c r="D5" s="2">
        <f>'Mar 18'!C50/1000</f>
        <v>74.160339999999991</v>
      </c>
      <c r="E5" s="2" t="e">
        <f>'Apr 18'!C54/1000</f>
        <v>#REF!</v>
      </c>
      <c r="F5" s="2" t="e">
        <f>'May 18'!C46/1000</f>
        <v>#REF!</v>
      </c>
      <c r="G5" s="2" t="e">
        <f>'June 18'!C45/1000</f>
        <v>#REF!</v>
      </c>
      <c r="H5" s="2" t="e">
        <f>'Jul 18'!C54/1000</f>
        <v>#REF!</v>
      </c>
      <c r="I5" s="2" t="e">
        <f>#REF!/1000</f>
        <v>#REF!</v>
      </c>
      <c r="J5" s="2" t="e">
        <f>#REF!/1000</f>
        <v>#REF!</v>
      </c>
      <c r="K5" s="2" t="e">
        <f>#REF!/1000</f>
        <v>#REF!</v>
      </c>
      <c r="L5" s="2" t="e">
        <f>#REF!/1000</f>
        <v>#REF!</v>
      </c>
      <c r="M5" s="2" t="e">
        <f>#REF!/1000</f>
        <v>#REF!</v>
      </c>
    </row>
    <row r="6" spans="1:13" x14ac:dyDescent="0.25">
      <c r="A6" t="s">
        <v>784</v>
      </c>
      <c r="B6" s="2">
        <f>'Jan 18'!F53/1000</f>
        <v>121.11742000000004</v>
      </c>
      <c r="C6" s="2">
        <f>'Feb 18'!F52/1000</f>
        <v>37.414459999999998</v>
      </c>
      <c r="D6" s="2" t="e">
        <f>'Mar 18'!F50/1000</f>
        <v>#REF!</v>
      </c>
      <c r="E6" s="2" t="e">
        <f>'Apr 18'!F54/1000</f>
        <v>#REF!</v>
      </c>
      <c r="F6" s="2">
        <f>'May 18'!F33/1000</f>
        <v>328.01346999999998</v>
      </c>
      <c r="G6" s="2"/>
      <c r="H6" s="2"/>
      <c r="I6" s="2"/>
      <c r="J6" s="2"/>
      <c r="K6" s="2"/>
      <c r="L6" s="2"/>
      <c r="M6" s="2"/>
    </row>
    <row r="22" spans="1:20" x14ac:dyDescent="0.25">
      <c r="B22" s="132"/>
      <c r="C22" s="132"/>
      <c r="D22" s="132"/>
      <c r="E22" s="132"/>
      <c r="F22" s="132"/>
    </row>
    <row r="23" spans="1:20" ht="45" x14ac:dyDescent="0.25">
      <c r="A23" t="s">
        <v>785</v>
      </c>
      <c r="B23" s="132" t="s">
        <v>786</v>
      </c>
      <c r="C23" s="132" t="s">
        <v>787</v>
      </c>
      <c r="D23" s="132" t="s">
        <v>788</v>
      </c>
      <c r="E23" s="132" t="s">
        <v>789</v>
      </c>
      <c r="F23" s="132"/>
      <c r="I23" s="132" t="s">
        <v>790</v>
      </c>
      <c r="J23" s="132" t="s">
        <v>791</v>
      </c>
      <c r="K23" s="132" t="s">
        <v>792</v>
      </c>
      <c r="L23" s="132" t="s">
        <v>793</v>
      </c>
      <c r="M23" s="132" t="s">
        <v>794</v>
      </c>
      <c r="N23" s="132" t="s">
        <v>795</v>
      </c>
      <c r="O23" s="132" t="s">
        <v>796</v>
      </c>
      <c r="P23" s="132" t="s">
        <v>797</v>
      </c>
      <c r="Q23" s="132" t="s">
        <v>798</v>
      </c>
      <c r="R23" s="132" t="s">
        <v>797</v>
      </c>
      <c r="S23" s="132" t="s">
        <v>796</v>
      </c>
      <c r="T23" s="132" t="s">
        <v>797</v>
      </c>
    </row>
    <row r="24" spans="1:20" x14ac:dyDescent="0.25">
      <c r="A24" t="s">
        <v>799</v>
      </c>
      <c r="B24" s="133" t="e">
        <f>#REF!/1000</f>
        <v>#REF!</v>
      </c>
      <c r="C24" s="133" t="e">
        <f>#REF!/1000</f>
        <v>#REF!</v>
      </c>
      <c r="D24" s="133" t="e">
        <f>(SUM(#REF!)-156)</f>
        <v>#REF!</v>
      </c>
      <c r="E24" s="133" t="e">
        <f>SUM(#REF!)</f>
        <v>#REF!</v>
      </c>
      <c r="H24" t="s">
        <v>799</v>
      </c>
      <c r="I24" s="133" t="e">
        <f>#REF!/1000</f>
        <v>#REF!</v>
      </c>
      <c r="J24" s="133" t="e">
        <f>#REF!/1000</f>
        <v>#REF!</v>
      </c>
      <c r="K24" s="133" t="e">
        <f>#REF!/1000</f>
        <v>#REF!</v>
      </c>
      <c r="L24" s="133" t="e">
        <f>#REF!/1000</f>
        <v>#REF!</v>
      </c>
      <c r="M24" s="133" t="e">
        <f>SUM(#REF!)</f>
        <v>#REF!</v>
      </c>
      <c r="N24" s="133" t="e">
        <f>SUM(#REF!)</f>
        <v>#REF!</v>
      </c>
      <c r="O24" s="133" t="e">
        <f>SUM(#REF!)</f>
        <v>#REF!</v>
      </c>
      <c r="P24" s="133" t="e">
        <f>SUM(#REF!)</f>
        <v>#REF!</v>
      </c>
    </row>
    <row r="25" spans="1:20" x14ac:dyDescent="0.25">
      <c r="B25" s="133"/>
      <c r="C25" s="133" t="e">
        <f>B24+C24</f>
        <v>#REF!</v>
      </c>
      <c r="D25" s="133"/>
      <c r="E25" s="133" t="e">
        <f>D24+E24</f>
        <v>#REF!</v>
      </c>
      <c r="I25" s="133"/>
      <c r="J25" s="133"/>
      <c r="K25" s="133"/>
      <c r="L25" s="133" t="e">
        <f>SUM(I24:L24)</f>
        <v>#REF!</v>
      </c>
      <c r="M25" s="133"/>
      <c r="N25" s="133"/>
      <c r="O25" s="133"/>
      <c r="P25" s="133" t="e">
        <f>SUM(M24:P24)</f>
        <v>#REF!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34"/>
  <sheetViews>
    <sheetView zoomScale="80" zoomScaleNormal="80" workbookViewId="0">
      <selection activeCell="G8" sqref="G8:P8"/>
    </sheetView>
  </sheetViews>
  <sheetFormatPr defaultRowHeight="15" x14ac:dyDescent="0.25"/>
  <cols>
    <col min="1" max="1" width="2.42578125" customWidth="1"/>
    <col min="2" max="2" width="16" bestFit="1" customWidth="1"/>
    <col min="4" max="4" width="1" customWidth="1"/>
    <col min="5" max="11" width="9.28515625" bestFit="1" customWidth="1"/>
    <col min="12" max="12" width="9.5703125" bestFit="1" customWidth="1"/>
    <col min="13" max="13" width="9.28515625" bestFit="1" customWidth="1"/>
    <col min="14" max="14" width="9.5703125" bestFit="1" customWidth="1"/>
    <col min="15" max="15" width="9.28515625" bestFit="1" customWidth="1"/>
    <col min="16" max="16" width="9.5703125" bestFit="1" customWidth="1"/>
    <col min="17" max="17" width="1" customWidth="1"/>
  </cols>
  <sheetData>
    <row r="1" spans="1:18" x14ac:dyDescent="0.25">
      <c r="A1" s="1" t="s">
        <v>0</v>
      </c>
    </row>
    <row r="2" spans="1:18" x14ac:dyDescent="0.25">
      <c r="A2" t="s">
        <v>93</v>
      </c>
    </row>
    <row r="5" spans="1:18" s="5" customFormat="1" x14ac:dyDescent="0.25">
      <c r="E5" s="5" t="s">
        <v>95</v>
      </c>
      <c r="F5" s="5" t="s">
        <v>96</v>
      </c>
      <c r="G5" s="5" t="s">
        <v>97</v>
      </c>
      <c r="H5" s="5" t="s">
        <v>98</v>
      </c>
      <c r="I5" s="5" t="s">
        <v>62</v>
      </c>
      <c r="J5" s="5" t="s">
        <v>99</v>
      </c>
      <c r="K5" s="5" t="s">
        <v>100</v>
      </c>
      <c r="L5" s="5" t="s">
        <v>101</v>
      </c>
      <c r="M5" s="5" t="s">
        <v>102</v>
      </c>
      <c r="N5" s="5" t="s">
        <v>103</v>
      </c>
      <c r="O5" s="5" t="s">
        <v>104</v>
      </c>
      <c r="P5" s="5" t="s">
        <v>105</v>
      </c>
      <c r="R5" s="5" t="s">
        <v>61</v>
      </c>
    </row>
    <row r="6" spans="1:18" ht="6.95" customHeight="1" x14ac:dyDescent="0.25"/>
    <row r="7" spans="1:18" s="1" customFormat="1" x14ac:dyDescent="0.25">
      <c r="B7" s="1" t="s">
        <v>109</v>
      </c>
      <c r="E7" s="147">
        <v>6.1442499999999995</v>
      </c>
      <c r="F7" s="147">
        <v>46.14425</v>
      </c>
      <c r="G7" s="147">
        <v>210.38925</v>
      </c>
      <c r="H7" s="147">
        <v>112.99424999999999</v>
      </c>
      <c r="I7" s="147">
        <v>6.1442499999999995</v>
      </c>
      <c r="J7" s="147">
        <v>6.1442499999999995</v>
      </c>
      <c r="K7" s="147">
        <v>61.72325</v>
      </c>
      <c r="L7" s="147">
        <v>54.951250000000002</v>
      </c>
      <c r="M7" s="147">
        <v>6.1442499999999995</v>
      </c>
      <c r="N7" s="147">
        <v>85.494249999999994</v>
      </c>
      <c r="O7" s="147">
        <v>92.64425</v>
      </c>
      <c r="P7" s="147">
        <v>12.39705</v>
      </c>
      <c r="Q7" s="148"/>
      <c r="R7" s="149">
        <f>SUM(E7:Q7)</f>
        <v>701.3148000000001</v>
      </c>
    </row>
    <row r="8" spans="1:18" s="1" customFormat="1" x14ac:dyDescent="0.25">
      <c r="B8" s="1" t="s">
        <v>108</v>
      </c>
      <c r="E8" s="147">
        <v>4.1666666666666661</v>
      </c>
      <c r="F8" s="147">
        <v>76.307666666666677</v>
      </c>
      <c r="G8" s="147">
        <v>4.1666666666666661</v>
      </c>
      <c r="H8" s="147">
        <v>191.9666666666667</v>
      </c>
      <c r="I8" s="147">
        <v>104.91666666666667</v>
      </c>
      <c r="J8" s="147">
        <v>140.91666666666666</v>
      </c>
      <c r="K8" s="147">
        <v>146.66666666666666</v>
      </c>
      <c r="L8" s="147">
        <v>138.16666666666666</v>
      </c>
      <c r="M8" s="147">
        <v>184.91666666666666</v>
      </c>
      <c r="N8" s="147">
        <v>47.166666666666664</v>
      </c>
      <c r="O8" s="147">
        <v>21.666666666666671</v>
      </c>
      <c r="P8" s="147">
        <v>197.91666666666669</v>
      </c>
      <c r="Q8" s="148"/>
      <c r="R8" s="149">
        <f>SUM(E8:Q8)</f>
        <v>1258.941</v>
      </c>
    </row>
    <row r="9" spans="1:18" s="1" customFormat="1" x14ac:dyDescent="0.25">
      <c r="B9" s="1" t="s">
        <v>61</v>
      </c>
      <c r="E9" s="150">
        <f>SUM(E7:E8)</f>
        <v>10.310916666666666</v>
      </c>
      <c r="F9" s="150">
        <f t="shared" ref="F9:P9" si="0">SUM(F7:F8)</f>
        <v>122.45191666666668</v>
      </c>
      <c r="G9" s="150">
        <f t="shared" si="0"/>
        <v>214.55591666666666</v>
      </c>
      <c r="H9" s="150">
        <f t="shared" si="0"/>
        <v>304.96091666666666</v>
      </c>
      <c r="I9" s="150">
        <f t="shared" si="0"/>
        <v>111.06091666666667</v>
      </c>
      <c r="J9" s="150">
        <f t="shared" si="0"/>
        <v>147.06091666666666</v>
      </c>
      <c r="K9" s="150">
        <f t="shared" si="0"/>
        <v>208.38991666666666</v>
      </c>
      <c r="L9" s="150">
        <f t="shared" si="0"/>
        <v>193.11791666666664</v>
      </c>
      <c r="M9" s="150">
        <f t="shared" si="0"/>
        <v>191.06091666666666</v>
      </c>
      <c r="N9" s="150">
        <f t="shared" si="0"/>
        <v>132.66091666666665</v>
      </c>
      <c r="O9" s="150">
        <f t="shared" si="0"/>
        <v>114.31091666666667</v>
      </c>
      <c r="P9" s="150">
        <f t="shared" si="0"/>
        <v>210.31371666666669</v>
      </c>
      <c r="Q9" s="148"/>
      <c r="R9" s="151">
        <f>SUM(E9:Q9)</f>
        <v>1960.2557999999999</v>
      </c>
    </row>
    <row r="10" spans="1:18" s="1" customFormat="1" x14ac:dyDescent="0.25"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8"/>
      <c r="R10" s="149"/>
    </row>
    <row r="11" spans="1:18" s="1" customFormat="1" x14ac:dyDescent="0.25"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8"/>
      <c r="R11" s="149"/>
    </row>
    <row r="12" spans="1:18" ht="15.75" thickBot="1" x14ac:dyDescent="0.3">
      <c r="B12" s="1" t="s">
        <v>111</v>
      </c>
    </row>
    <row r="13" spans="1:18" ht="16.5" thickTop="1" thickBot="1" x14ac:dyDescent="0.3">
      <c r="B13" s="145" t="s">
        <v>112</v>
      </c>
      <c r="C13" s="153">
        <v>0.5</v>
      </c>
      <c r="E13" s="2">
        <f>E$8*$C13</f>
        <v>2.083333333333333</v>
      </c>
      <c r="F13" s="2">
        <f t="shared" ref="F13:P13" si="1">F$8*$C13</f>
        <v>38.153833333333338</v>
      </c>
      <c r="G13" s="2">
        <f t="shared" si="1"/>
        <v>2.083333333333333</v>
      </c>
      <c r="H13" s="2">
        <f t="shared" si="1"/>
        <v>95.983333333333348</v>
      </c>
      <c r="I13" s="2">
        <f t="shared" si="1"/>
        <v>52.458333333333336</v>
      </c>
      <c r="J13" s="2">
        <f t="shared" si="1"/>
        <v>70.458333333333329</v>
      </c>
      <c r="K13" s="2">
        <f t="shared" si="1"/>
        <v>73.333333333333329</v>
      </c>
      <c r="L13" s="2">
        <f t="shared" si="1"/>
        <v>69.083333333333329</v>
      </c>
      <c r="M13" s="2">
        <f t="shared" si="1"/>
        <v>92.458333333333329</v>
      </c>
      <c r="N13" s="2">
        <f t="shared" si="1"/>
        <v>23.583333333333332</v>
      </c>
      <c r="O13" s="2">
        <f t="shared" si="1"/>
        <v>10.833333333333336</v>
      </c>
      <c r="P13" s="2">
        <f t="shared" si="1"/>
        <v>98.958333333333343</v>
      </c>
      <c r="R13" s="154">
        <f>SUM(E13:P13)</f>
        <v>629.47050000000002</v>
      </c>
    </row>
    <row r="14" spans="1:18" ht="6.95" customHeight="1" thickTop="1" thickBot="1" x14ac:dyDescent="0.3">
      <c r="B14" s="145"/>
    </row>
    <row r="15" spans="1:18" ht="16.5" thickTop="1" thickBot="1" x14ac:dyDescent="0.3">
      <c r="B15" s="145" t="s">
        <v>113</v>
      </c>
      <c r="C15" s="155">
        <v>0</v>
      </c>
      <c r="E15" s="161">
        <f>IF($C15=0,E13,IF($C15=1,0,0))</f>
        <v>2.083333333333333</v>
      </c>
      <c r="F15" s="161">
        <f>IF($C15=0,F13,IF($C15=1,E13,IF($C15=2,0,0)))</f>
        <v>38.153833333333338</v>
      </c>
      <c r="G15" s="161">
        <f>IF($C15=0,G13,IF($C15=1,F13,IF($C15=2,E13,IF($C15=3,0,0))))</f>
        <v>2.083333333333333</v>
      </c>
      <c r="H15" s="161">
        <f>IF($C15=0,H13,IF($C15=1,G13,IF($C15=2,F13,IF($C15=3,E13,IF($C15=4,0,0)))))</f>
        <v>95.983333333333348</v>
      </c>
      <c r="I15" s="161">
        <f>IF($C15=0,I13,IF($C15=1,H13,IF($C15=2,G13,IF($C15=3,F13,IF($C15=4,E13,IF($C15=5,0,0))))))</f>
        <v>52.458333333333336</v>
      </c>
      <c r="J15" s="161">
        <f>IF($C15=0,J13,IF($C15=1,I13,IF($C15=2,H13,IF($C15=3,G13,IF($C15=4,F13,IF($C15=5,E13,IF($C15=6,0,0)))))))</f>
        <v>70.458333333333329</v>
      </c>
      <c r="K15" s="161">
        <f>IF($C15=0,K13,IF($C15=1,J13,IF($C15=2,I13,IF($C15=3,H13,IF($C15=4,G13,IF($C15=5,F13,IF($C15=6,E13,IF($C15-7,0,0))))))))</f>
        <v>73.333333333333329</v>
      </c>
      <c r="L15" s="161">
        <f>IF($C15=0,L13,IF($C15=1,K13,IF($C15=2,J13,IF($C15=3,I13,IF($C15=4,H13,IF($C15=5,G13,IF($C15=6,F13,IF($C15=7,E13,0))))))))</f>
        <v>69.083333333333329</v>
      </c>
      <c r="M15" s="161">
        <f>IF($C15=0,M13,IF($C15=1,L13,IF($C15=2,K13,IF($C15=3,J13,IF($C15=4,I13,IF($C15=5,H13,IF($C15=6,G13,IF($C15=7,F13,IF($C15=8,E13,0)))))))))</f>
        <v>92.458333333333329</v>
      </c>
      <c r="N15" s="161">
        <f>IF($C15=0,N13,IF($C15=1,M13,IF($C15=2,L13,IF($C15=3,K13,IF($C15=4,J13,IF($C15=5,I13,IF($C15=6,H13,IF($C15=7,G13,IF($C15=8,F13,IF($C15=9,E13,0))))))))))</f>
        <v>23.583333333333332</v>
      </c>
      <c r="O15" s="161">
        <f>IF($C15=0,O13,IF($C15=1,N13,IF($C15=2,M13,IF($C15=3,L13,IF($C15=4,K13,IF($C15=5,J13,IF($C15=6,I13,IF($C15=7,H13,IF($C15=8,G13,IF($C15=9,F13,IF($C15=10,E13,0)))))))))))</f>
        <v>10.833333333333336</v>
      </c>
      <c r="P15" s="161">
        <f>IF($C15=0,P13,IF($C15=1,O13,IF($C15=2,N13,IF($C15=3,M13,IF($C15=4,L13,IF($C15=5,K13,IF($C15=6,J13,IF($C15=7,I13,IF($C15=8,H13,IF($C15=9,G13,IF($C15=10,F13,IF($C15=11,E13,0))))))))))))</f>
        <v>98.958333333333343</v>
      </c>
      <c r="Q15" s="1"/>
      <c r="R15" s="162">
        <f>SUM(E15:P15)</f>
        <v>629.47050000000002</v>
      </c>
    </row>
    <row r="16" spans="1:18" ht="15.75" thickTop="1" x14ac:dyDescent="0.25"/>
    <row r="17" spans="2:18" x14ac:dyDescent="0.25">
      <c r="B17" s="1"/>
    </row>
    <row r="18" spans="2:18" ht="15.75" thickBot="1" x14ac:dyDescent="0.3">
      <c r="B18" s="1" t="s">
        <v>115</v>
      </c>
    </row>
    <row r="19" spans="2:18" ht="16.5" thickTop="1" thickBot="1" x14ac:dyDescent="0.3">
      <c r="B19" s="145" t="s">
        <v>112</v>
      </c>
      <c r="C19" s="153">
        <v>0.9</v>
      </c>
      <c r="E19" s="2">
        <f>E$8*$C19</f>
        <v>3.7499999999999996</v>
      </c>
      <c r="F19" s="2">
        <f t="shared" ref="F19:P19" si="2">F$8*$C19</f>
        <v>68.676900000000018</v>
      </c>
      <c r="G19" s="2">
        <f t="shared" si="2"/>
        <v>3.7499999999999996</v>
      </c>
      <c r="H19" s="2">
        <f t="shared" si="2"/>
        <v>172.77000000000004</v>
      </c>
      <c r="I19" s="2">
        <f t="shared" si="2"/>
        <v>94.425000000000011</v>
      </c>
      <c r="J19" s="2">
        <f t="shared" si="2"/>
        <v>126.82499999999999</v>
      </c>
      <c r="K19" s="2">
        <f t="shared" si="2"/>
        <v>132</v>
      </c>
      <c r="L19" s="2">
        <f t="shared" si="2"/>
        <v>124.35</v>
      </c>
      <c r="M19" s="2">
        <f t="shared" si="2"/>
        <v>166.42499999999998</v>
      </c>
      <c r="N19" s="2">
        <f t="shared" si="2"/>
        <v>42.449999999999996</v>
      </c>
      <c r="O19" s="2">
        <f t="shared" si="2"/>
        <v>19.500000000000004</v>
      </c>
      <c r="P19" s="2">
        <f t="shared" si="2"/>
        <v>178.12500000000003</v>
      </c>
      <c r="R19" s="154">
        <f>SUM(E19:P19)</f>
        <v>1133.0469000000003</v>
      </c>
    </row>
    <row r="20" spans="2:18" ht="6.95" customHeight="1" thickTop="1" thickBot="1" x14ac:dyDescent="0.3">
      <c r="B20" s="145"/>
    </row>
    <row r="21" spans="2:18" ht="16.5" thickTop="1" thickBot="1" x14ac:dyDescent="0.3">
      <c r="B21" s="145" t="s">
        <v>113</v>
      </c>
      <c r="C21" s="155">
        <v>3</v>
      </c>
      <c r="E21" s="161">
        <f>IF($C21=0,E19,IF($C21=1,0,0))</f>
        <v>0</v>
      </c>
      <c r="F21" s="161">
        <f>IF($C21=0,F19,IF($C21=1,E19,IF($C21=2,0,0)))</f>
        <v>0</v>
      </c>
      <c r="G21" s="161">
        <f>IF($C21=0,G19,IF($C21=1,F19,IF($C21=2,E19,IF($C21=3,0,0))))</f>
        <v>0</v>
      </c>
      <c r="H21" s="161">
        <f>IF($C21=0,H19,IF($C21=1,G19,IF($C21=2,F19,IF($C21=3,E19,IF($C21=4,0,0)))))</f>
        <v>3.7499999999999996</v>
      </c>
      <c r="I21" s="161">
        <f>IF($C21=0,I19,IF($C21=1,H19,IF($C21=2,G19,IF($C21=3,F19,IF($C21=4,E19,IF($C21=5,0,0))))))</f>
        <v>68.676900000000018</v>
      </c>
      <c r="J21" s="161">
        <f>IF($C21=0,J19,IF($C21=1,I19,IF($C21=2,H19,IF($C21=3,G19,IF($C21=4,F19,IF($C21=5,E19,IF($C21=6,0,0)))))))</f>
        <v>3.7499999999999996</v>
      </c>
      <c r="K21" s="161">
        <f>IF($C21=0,K19,IF($C21=1,J19,IF($C21=2,I19,IF($C21=3,H19,IF($C21=4,G19,IF($C21=5,F19,IF($C21=6,E19,IF($C21-7,0,0))))))))</f>
        <v>172.77000000000004</v>
      </c>
      <c r="L21" s="161">
        <f>IF($C21=0,L19,IF($C21=1,K19,IF($C21=2,J19,IF($C21=3,I19,IF($C21=4,H19,IF($C21=5,G19,IF($C21=6,F19,IF($C21=7,E19,0))))))))</f>
        <v>94.425000000000011</v>
      </c>
      <c r="M21" s="161">
        <f>IF($C21=0,M19,IF($C21=1,L19,IF($C21=2,K19,IF($C21=3,J19,IF($C21=4,I19,IF($C21=5,H19,IF($C21=6,G19,IF($C21=7,F19,IF($C21=8,E19,0)))))))))</f>
        <v>126.82499999999999</v>
      </c>
      <c r="N21" s="161">
        <f>IF($C21=0,N19,IF($C21=1,M19,IF($C21=2,L19,IF($C21=3,K19,IF($C21=4,J19,IF($C21=5,I19,IF($C21=6,H19,IF($C21=7,G19,IF($C21=8,F19,IF($C21=9,E19,0))))))))))</f>
        <v>132</v>
      </c>
      <c r="O21" s="161">
        <f>IF($C21=0,O19,IF($C21=1,N19,IF($C21=2,M19,IF($C21=3,L19,IF($C21=4,K19,IF($C21=5,J19,IF($C21=6,I19,IF($C21=7,H19,IF($C21=8,G19,IF($C21=9,F19,IF($C21=10,E19,0)))))))))))</f>
        <v>124.35</v>
      </c>
      <c r="P21" s="161">
        <f>IF($C21=0,P19,IF($C21=1,O19,IF($C21=2,N19,IF($C21=3,M19,IF($C21=4,L19,IF($C21=5,K19,IF($C21=6,J19,IF($C21=7,I19,IF($C21=8,H19,IF($C21=9,G19,IF($C21=10,F19,IF($C21=11,E19,0))))))))))))</f>
        <v>166.42499999999998</v>
      </c>
      <c r="Q21" s="1"/>
      <c r="R21" s="162">
        <f>SUM(E21:P21)</f>
        <v>892.97190000000012</v>
      </c>
    </row>
    <row r="22" spans="2:18" ht="15.75" thickTop="1" x14ac:dyDescent="0.25"/>
    <row r="24" spans="2:18" ht="15.75" thickBot="1" x14ac:dyDescent="0.3">
      <c r="B24" s="1" t="s">
        <v>116</v>
      </c>
    </row>
    <row r="25" spans="2:18" ht="16.5" thickTop="1" thickBot="1" x14ac:dyDescent="0.3">
      <c r="B25" s="145" t="s">
        <v>112</v>
      </c>
      <c r="C25" s="153">
        <v>0.75</v>
      </c>
      <c r="E25" s="2">
        <f>E$8*$C25</f>
        <v>3.1249999999999996</v>
      </c>
      <c r="F25" s="2">
        <f t="shared" ref="F25:P25" si="3">F$8*$C25</f>
        <v>57.230750000000008</v>
      </c>
      <c r="G25" s="2">
        <f t="shared" si="3"/>
        <v>3.1249999999999996</v>
      </c>
      <c r="H25" s="2">
        <f t="shared" si="3"/>
        <v>143.97500000000002</v>
      </c>
      <c r="I25" s="2">
        <f t="shared" si="3"/>
        <v>78.6875</v>
      </c>
      <c r="J25" s="2">
        <f t="shared" si="3"/>
        <v>105.6875</v>
      </c>
      <c r="K25" s="2">
        <f t="shared" si="3"/>
        <v>110</v>
      </c>
      <c r="L25" s="2">
        <f t="shared" si="3"/>
        <v>103.625</v>
      </c>
      <c r="M25" s="2">
        <f t="shared" si="3"/>
        <v>138.6875</v>
      </c>
      <c r="N25" s="2">
        <f t="shared" si="3"/>
        <v>35.375</v>
      </c>
      <c r="O25" s="2">
        <f t="shared" si="3"/>
        <v>16.250000000000004</v>
      </c>
      <c r="P25" s="2">
        <f t="shared" si="3"/>
        <v>148.4375</v>
      </c>
      <c r="R25" s="154">
        <f>SUM(E25:P25)</f>
        <v>944.20575000000008</v>
      </c>
    </row>
    <row r="26" spans="2:18" ht="6.95" customHeight="1" thickTop="1" thickBot="1" x14ac:dyDescent="0.3">
      <c r="B26" s="145"/>
    </row>
    <row r="27" spans="2:18" ht="16.5" thickTop="1" thickBot="1" x14ac:dyDescent="0.3">
      <c r="B27" s="145" t="s">
        <v>113</v>
      </c>
      <c r="C27" s="155">
        <v>1</v>
      </c>
      <c r="E27" s="161">
        <f>IF($C27=0,E25,IF($C27=1,0,0))</f>
        <v>0</v>
      </c>
      <c r="F27" s="161">
        <f>IF($C27=0,F25,IF($C27=1,E25,IF($C27=2,0,0)))</f>
        <v>3.1249999999999996</v>
      </c>
      <c r="G27" s="161">
        <f>IF($C27=0,G25,IF($C27=1,F25,IF($C27=2,E25,IF($C27=3,0,0))))</f>
        <v>57.230750000000008</v>
      </c>
      <c r="H27" s="161">
        <f>IF($C27=0,H25,IF($C27=1,G25,IF($C27=2,F25,IF($C27=3,E25,IF($C27=4,0,0)))))</f>
        <v>3.1249999999999996</v>
      </c>
      <c r="I27" s="161">
        <f>IF($C27=0,I25,IF($C27=1,H25,IF($C27=2,G25,IF($C27=3,F25,IF($C27=4,E25,IF($C27=5,0,0))))))</f>
        <v>143.97500000000002</v>
      </c>
      <c r="J27" s="161">
        <f>IF($C27=0,J25,IF($C27=1,I25,IF($C27=2,H25,IF($C27=3,G25,IF($C27=4,F25,IF($C27=5,E25,IF($C27=6,0,0)))))))</f>
        <v>78.6875</v>
      </c>
      <c r="K27" s="161">
        <f>IF($C27=0,K25,IF($C27=1,J25,IF($C27=2,I25,IF($C27=3,H25,IF($C27=4,G25,IF($C27=5,F25,IF($C27=6,E25,IF($C27-7,0,0))))))))</f>
        <v>105.6875</v>
      </c>
      <c r="L27" s="161">
        <f>IF($C27=0,L25,IF($C27=1,K25,IF($C27=2,J25,IF($C27=3,I25,IF($C27=4,H25,IF($C27=5,G25,IF($C27=6,F25,IF($C27=7,E25,0))))))))</f>
        <v>110</v>
      </c>
      <c r="M27" s="161">
        <f>IF($C27=0,M25,IF($C27=1,L25,IF($C27=2,K25,IF($C27=3,J25,IF($C27=4,I25,IF($C27=5,H25,IF($C27=6,G25,IF($C27=7,F25,IF($C27=8,E25,0)))))))))</f>
        <v>103.625</v>
      </c>
      <c r="N27" s="161">
        <f>IF($C27=0,N25,IF($C27=1,M25,IF($C27=2,L25,IF($C27=3,K25,IF($C27=4,J25,IF($C27=5,I25,IF($C27=6,H25,IF($C27=7,G25,IF($C27=8,F25,IF($C27=9,E25,0))))))))))</f>
        <v>138.6875</v>
      </c>
      <c r="O27" s="161">
        <f>IF($C27=0,O25,IF($C27=1,N25,IF($C27=2,M25,IF($C27=3,L25,IF($C27=4,K25,IF($C27=5,J25,IF($C27=6,I25,IF($C27=7,H25,IF($C27=8,G25,IF($C27=9,F25,IF($C27=10,E25,0)))))))))))</f>
        <v>35.375</v>
      </c>
      <c r="P27" s="161">
        <f>IF($C27=0,P25,IF($C27=1,O25,IF($C27=2,N25,IF($C27=3,M25,IF($C27=4,L25,IF($C27=5,K25,IF($C27=6,J25,IF($C27=7,I25,IF($C27=8,H25,IF($C27=9,G25,IF($C27=10,F25,IF($C27=11,E25,0))))))))))))</f>
        <v>16.250000000000004</v>
      </c>
      <c r="Q27" s="1"/>
      <c r="R27" s="162">
        <f>SUM(E27:P27)</f>
        <v>795.76825000000008</v>
      </c>
    </row>
    <row r="28" spans="2:18" ht="15.75" thickTop="1" x14ac:dyDescent="0.25"/>
    <row r="30" spans="2:18" ht="15.75" thickBot="1" x14ac:dyDescent="0.3">
      <c r="B30" s="1" t="s">
        <v>117</v>
      </c>
    </row>
    <row r="31" spans="2:18" ht="16.5" thickTop="1" thickBot="1" x14ac:dyDescent="0.3">
      <c r="B31" s="145" t="s">
        <v>112</v>
      </c>
      <c r="C31" s="153">
        <v>0.6</v>
      </c>
      <c r="E31" s="2">
        <f>E$8*$C31</f>
        <v>2.4999999999999996</v>
      </c>
      <c r="F31" s="2">
        <f t="shared" ref="F31:P31" si="4">F$8*$C31</f>
        <v>45.784600000000005</v>
      </c>
      <c r="G31" s="2">
        <f t="shared" si="4"/>
        <v>2.4999999999999996</v>
      </c>
      <c r="H31" s="2">
        <f t="shared" si="4"/>
        <v>115.18</v>
      </c>
      <c r="I31" s="2">
        <f t="shared" si="4"/>
        <v>62.95</v>
      </c>
      <c r="J31" s="2">
        <f t="shared" si="4"/>
        <v>84.55</v>
      </c>
      <c r="K31" s="2">
        <f t="shared" si="4"/>
        <v>87.999999999999986</v>
      </c>
      <c r="L31" s="2">
        <f t="shared" si="4"/>
        <v>82.899999999999991</v>
      </c>
      <c r="M31" s="2">
        <f t="shared" si="4"/>
        <v>110.94999999999999</v>
      </c>
      <c r="N31" s="2">
        <f t="shared" si="4"/>
        <v>28.299999999999997</v>
      </c>
      <c r="O31" s="2">
        <f t="shared" si="4"/>
        <v>13.000000000000002</v>
      </c>
      <c r="P31" s="2">
        <f t="shared" si="4"/>
        <v>118.75</v>
      </c>
      <c r="R31" s="154">
        <f>SUM(E31:P31)</f>
        <v>755.36459999999988</v>
      </c>
    </row>
    <row r="32" spans="2:18" ht="6.95" customHeight="1" thickTop="1" thickBot="1" x14ac:dyDescent="0.3">
      <c r="B32" s="145"/>
    </row>
    <row r="33" spans="2:18" ht="16.5" thickTop="1" thickBot="1" x14ac:dyDescent="0.3">
      <c r="B33" s="145" t="s">
        <v>113</v>
      </c>
      <c r="C33" s="155">
        <v>3</v>
      </c>
      <c r="E33" s="161">
        <f>IF($C33=0,E31,IF($C33=1,0,0))</f>
        <v>0</v>
      </c>
      <c r="F33" s="161">
        <f>IF($C33=0,F31,IF($C33=1,E31,IF($C33=2,0,0)))</f>
        <v>0</v>
      </c>
      <c r="G33" s="161">
        <f>IF($C33=0,G31,IF($C33=1,F31,IF($C33=2,E31,IF($C33=3,0,0))))</f>
        <v>0</v>
      </c>
      <c r="H33" s="161">
        <f>IF($C33=0,H31,IF($C33=1,G31,IF($C33=2,F31,IF($C33=3,E31,IF($C33=4,0,0)))))</f>
        <v>2.4999999999999996</v>
      </c>
      <c r="I33" s="161">
        <f>IF($C33=0,I31,IF($C33=1,H31,IF($C33=2,G31,IF($C33=3,F31,IF($C33=4,E31,IF($C33=5,0,0))))))</f>
        <v>45.784600000000005</v>
      </c>
      <c r="J33" s="161">
        <f>IF($C33=0,J31,IF($C33=1,I31,IF($C33=2,H31,IF($C33=3,G31,IF($C33=4,F31,IF($C33=5,E31,IF($C33=6,0,0)))))))</f>
        <v>2.4999999999999996</v>
      </c>
      <c r="K33" s="161">
        <f>IF($C33=0,K31,IF($C33=1,J31,IF($C33=2,I31,IF($C33=3,H31,IF($C33=4,G31,IF($C33=5,F31,IF($C33=6,E31,IF($C33-7,0,0))))))))</f>
        <v>115.18</v>
      </c>
      <c r="L33" s="161">
        <f>IF($C33=0,L31,IF($C33=1,K31,IF($C33=2,J31,IF($C33=3,I31,IF($C33=4,H31,IF($C33=5,G31,IF($C33=6,F31,IF($C33=7,E31,0))))))))</f>
        <v>62.95</v>
      </c>
      <c r="M33" s="161">
        <f>IF($C33=0,M31,IF($C33=1,L31,IF($C33=2,K31,IF($C33=3,J31,IF($C33=4,I31,IF($C33=5,H31,IF($C33=6,G31,IF($C33=7,F31,IF($C33=8,E31,0)))))))))</f>
        <v>84.55</v>
      </c>
      <c r="N33" s="161">
        <f>IF($C33=0,N31,IF($C33=1,M31,IF($C33=2,L31,IF($C33=3,K31,IF($C33=4,J31,IF($C33=5,I31,IF($C33=6,H31,IF($C33=7,G31,IF($C33=8,F31,IF($C33=9,E31,0))))))))))</f>
        <v>87.999999999999986</v>
      </c>
      <c r="O33" s="161">
        <f>IF($C33=0,O31,IF($C33=1,N31,IF($C33=2,M31,IF($C33=3,L31,IF($C33=4,K31,IF($C33=5,J31,IF($C33=6,I31,IF($C33=7,H31,IF($C33=8,G31,IF($C33=9,F31,IF($C33=10,E31,0)))))))))))</f>
        <v>82.899999999999991</v>
      </c>
      <c r="P33" s="161">
        <f>IF($C33=0,P31,IF($C33=1,O31,IF($C33=2,N31,IF($C33=3,M31,IF($C33=4,L31,IF($C33=5,K31,IF($C33=6,J31,IF($C33=7,I31,IF($C33=8,H31,IF($C33=9,G31,IF($C33=10,F31,IF($C33=11,E31,0))))))))))))</f>
        <v>110.94999999999999</v>
      </c>
      <c r="Q33" s="1"/>
      <c r="R33" s="162">
        <f>SUM(E33:P33)</f>
        <v>595.31459999999993</v>
      </c>
    </row>
    <row r="34" spans="2:18" ht="15.75" thickTop="1" x14ac:dyDescent="0.25"/>
  </sheetData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NTHS SLIP" prompt="Choose a number of months pipeline might slip." xr:uid="{00000000-0002-0000-2000-000000000000}">
          <x14:formula1>
            <xm:f>DATA!$A$2:$A$14</xm:f>
          </x14:formula1>
          <xm:sqref>C15 C21 C27 C33</xm:sqref>
        </x14:dataValidation>
        <x14:dataValidation type="list" allowBlank="1" showInputMessage="1" showErrorMessage="1" promptTitle="PERCENTAGE SLIP" prompt="Choose a scenario percentage pipeline loss." xr:uid="{00000000-0002-0000-2000-000001000000}">
          <x14:formula1>
            <xm:f>DATA!$B$2:$B$41</xm:f>
          </x14:formula1>
          <xm:sqref>C13:D13 C19:D19 C25:D25 C31:D31</xm:sqref>
        </x14:dataValidation>
        <x14:dataValidation type="list" allowBlank="1" showInputMessage="1" showErrorMessage="1" promptTitle="MONTHS SLIP" prompt="Choose a number of months pipeline might slip." xr:uid="{00000000-0002-0000-2000-000002000000}">
          <x14:formula1>
            <xm:f>DATA!$A$3:$A$14</xm:f>
          </x14:formula1>
          <xm:sqref>D15 D27 D21 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W49"/>
  <sheetViews>
    <sheetView zoomScale="80" zoomScaleNormal="80" workbookViewId="0">
      <selection activeCell="G8" sqref="G8:P8"/>
    </sheetView>
  </sheetViews>
  <sheetFormatPr defaultRowHeight="15" x14ac:dyDescent="0.25"/>
  <cols>
    <col min="1" max="1" width="1" customWidth="1"/>
    <col min="2" max="2" width="21.7109375" customWidth="1"/>
    <col min="4" max="4" width="1" customWidth="1"/>
    <col min="5" max="11" width="9.28515625" bestFit="1" customWidth="1"/>
    <col min="12" max="12" width="9.5703125" bestFit="1" customWidth="1"/>
    <col min="13" max="13" width="9.28515625" bestFit="1" customWidth="1"/>
    <col min="14" max="14" width="9.5703125" bestFit="1" customWidth="1"/>
    <col min="15" max="15" width="9.28515625" bestFit="1" customWidth="1"/>
    <col min="16" max="16" width="9.5703125" bestFit="1" customWidth="1"/>
    <col min="17" max="17" width="1" customWidth="1"/>
  </cols>
  <sheetData>
    <row r="1" spans="1:23" x14ac:dyDescent="0.25">
      <c r="A1" s="1" t="s">
        <v>0</v>
      </c>
    </row>
    <row r="2" spans="1:23" x14ac:dyDescent="0.25">
      <c r="A2" t="s">
        <v>93</v>
      </c>
    </row>
    <row r="3" spans="1:23" x14ac:dyDescent="0.25">
      <c r="A3" t="s">
        <v>94</v>
      </c>
    </row>
    <row r="5" spans="1:23" s="5" customFormat="1" x14ac:dyDescent="0.25">
      <c r="E5" s="5" t="s">
        <v>95</v>
      </c>
      <c r="F5" s="5" t="s">
        <v>96</v>
      </c>
      <c r="G5" s="5" t="s">
        <v>97</v>
      </c>
      <c r="H5" s="5" t="s">
        <v>98</v>
      </c>
      <c r="I5" s="5" t="s">
        <v>62</v>
      </c>
      <c r="J5" s="5" t="s">
        <v>99</v>
      </c>
      <c r="K5" s="5" t="s">
        <v>100</v>
      </c>
      <c r="L5" s="5" t="s">
        <v>101</v>
      </c>
      <c r="M5" s="5" t="s">
        <v>102</v>
      </c>
      <c r="N5" s="5" t="s">
        <v>103</v>
      </c>
      <c r="O5" s="5" t="s">
        <v>104</v>
      </c>
      <c r="P5" s="5" t="s">
        <v>105</v>
      </c>
      <c r="R5" s="5" t="s">
        <v>61</v>
      </c>
      <c r="S5" s="5" t="s">
        <v>106</v>
      </c>
      <c r="U5" s="5" t="s">
        <v>107</v>
      </c>
    </row>
    <row r="6" spans="1:23" ht="6.95" customHeight="1" x14ac:dyDescent="0.25"/>
    <row r="7" spans="1:23" s="1" customFormat="1" x14ac:dyDescent="0.25">
      <c r="B7" s="1" t="s">
        <v>108</v>
      </c>
      <c r="E7" s="147">
        <v>0</v>
      </c>
      <c r="F7" s="147">
        <v>35</v>
      </c>
      <c r="G7" s="184">
        <v>8</v>
      </c>
      <c r="H7" s="147">
        <f>177-10-10-2-13</f>
        <v>142</v>
      </c>
      <c r="I7" s="147">
        <f>101+20+30</f>
        <v>151</v>
      </c>
      <c r="J7" s="147">
        <f>183+10</f>
        <v>193</v>
      </c>
      <c r="K7" s="147">
        <f>215+120</f>
        <v>335</v>
      </c>
      <c r="L7" s="147">
        <f>142-40</f>
        <v>102</v>
      </c>
      <c r="M7" s="147">
        <v>191</v>
      </c>
      <c r="N7" s="147">
        <v>53</v>
      </c>
      <c r="O7" s="147">
        <v>28</v>
      </c>
      <c r="P7" s="147">
        <v>205</v>
      </c>
      <c r="Q7" s="148"/>
      <c r="R7" s="149">
        <f>SUM(E7:Q7)</f>
        <v>1443</v>
      </c>
      <c r="U7" s="164">
        <f>SUM(G7:P7)</f>
        <v>1408</v>
      </c>
    </row>
    <row r="8" spans="1:23" s="1" customFormat="1" x14ac:dyDescent="0.25">
      <c r="B8" s="1" t="s">
        <v>109</v>
      </c>
      <c r="E8" s="147">
        <v>17</v>
      </c>
      <c r="F8" s="147">
        <v>94</v>
      </c>
      <c r="G8" s="147">
        <f>71+34</f>
        <v>105</v>
      </c>
      <c r="H8" s="147">
        <v>99</v>
      </c>
      <c r="I8" s="147">
        <v>17</v>
      </c>
      <c r="J8" s="147">
        <v>17</v>
      </c>
      <c r="K8" s="147">
        <f>197-30-120</f>
        <v>47</v>
      </c>
      <c r="L8" s="147">
        <f>55-48+40</f>
        <v>47</v>
      </c>
      <c r="M8" s="147">
        <v>6</v>
      </c>
      <c r="N8" s="147">
        <f>61+12</f>
        <v>73</v>
      </c>
      <c r="O8" s="147">
        <v>93</v>
      </c>
      <c r="P8" s="147">
        <f>13+1</f>
        <v>14</v>
      </c>
      <c r="Q8" s="148"/>
      <c r="R8" s="149">
        <f>SUM(E8:Q8)</f>
        <v>629</v>
      </c>
      <c r="U8" s="164">
        <f>SUM(G8:P8)</f>
        <v>518</v>
      </c>
    </row>
    <row r="9" spans="1:23" s="1" customFormat="1" x14ac:dyDescent="0.25">
      <c r="B9" s="1" t="s">
        <v>110</v>
      </c>
      <c r="E9" s="150">
        <f>SUM(E7:E8)</f>
        <v>17</v>
      </c>
      <c r="F9" s="150">
        <f t="shared" ref="F9:P9" si="0">SUM(F7:F8)</f>
        <v>129</v>
      </c>
      <c r="G9" s="150">
        <f t="shared" si="0"/>
        <v>113</v>
      </c>
      <c r="H9" s="150">
        <f t="shared" si="0"/>
        <v>241</v>
      </c>
      <c r="I9" s="150">
        <f t="shared" si="0"/>
        <v>168</v>
      </c>
      <c r="J9" s="150">
        <f t="shared" si="0"/>
        <v>210</v>
      </c>
      <c r="K9" s="150">
        <f t="shared" si="0"/>
        <v>382</v>
      </c>
      <c r="L9" s="150">
        <f t="shared" si="0"/>
        <v>149</v>
      </c>
      <c r="M9" s="150">
        <f t="shared" si="0"/>
        <v>197</v>
      </c>
      <c r="N9" s="150">
        <f t="shared" si="0"/>
        <v>126</v>
      </c>
      <c r="O9" s="150">
        <f t="shared" si="0"/>
        <v>121</v>
      </c>
      <c r="P9" s="150">
        <f t="shared" si="0"/>
        <v>219</v>
      </c>
      <c r="Q9" s="148"/>
      <c r="R9" s="151">
        <f>SUM(E9:Q9)</f>
        <v>2072</v>
      </c>
      <c r="S9" s="149">
        <f>R9/12</f>
        <v>172.66666666666666</v>
      </c>
      <c r="T9" s="149"/>
      <c r="U9" s="164">
        <f>SUM(G9:P9)</f>
        <v>1926</v>
      </c>
      <c r="V9" s="149"/>
      <c r="W9" s="152"/>
    </row>
    <row r="10" spans="1:23" s="1" customFormat="1" x14ac:dyDescent="0.25"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8"/>
      <c r="R10" s="149"/>
      <c r="S10" s="86">
        <f>S9-S49</f>
        <v>33.666666666666657</v>
      </c>
      <c r="T10" s="86"/>
      <c r="U10" s="86"/>
      <c r="V10" s="86"/>
    </row>
    <row r="11" spans="1:23" s="1" customFormat="1" x14ac:dyDescent="0.25"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8"/>
      <c r="R11" s="149"/>
      <c r="S11" s="86"/>
      <c r="T11" s="86"/>
      <c r="U11" s="86"/>
      <c r="V11" s="86"/>
    </row>
    <row r="12" spans="1:23" ht="15.75" thickBot="1" x14ac:dyDescent="0.3">
      <c r="B12" s="1" t="s">
        <v>111</v>
      </c>
      <c r="S12" s="78"/>
      <c r="T12" s="78"/>
      <c r="U12" s="78"/>
      <c r="V12" s="78"/>
    </row>
    <row r="13" spans="1:23" ht="16.5" thickTop="1" thickBot="1" x14ac:dyDescent="0.3">
      <c r="B13" s="145" t="s">
        <v>112</v>
      </c>
      <c r="C13" s="153">
        <v>0.75</v>
      </c>
      <c r="E13" s="2">
        <f t="shared" ref="E13:P13" si="1">E$7*$C13</f>
        <v>0</v>
      </c>
      <c r="F13" s="2">
        <f t="shared" si="1"/>
        <v>26.25</v>
      </c>
      <c r="G13" s="2">
        <f t="shared" si="1"/>
        <v>6</v>
      </c>
      <c r="H13" s="2">
        <f t="shared" si="1"/>
        <v>106.5</v>
      </c>
      <c r="I13" s="2">
        <f t="shared" si="1"/>
        <v>113.25</v>
      </c>
      <c r="J13" s="2">
        <f t="shared" si="1"/>
        <v>144.75</v>
      </c>
      <c r="K13" s="2">
        <f t="shared" si="1"/>
        <v>251.25</v>
      </c>
      <c r="L13" s="2">
        <f t="shared" si="1"/>
        <v>76.5</v>
      </c>
      <c r="M13" s="2">
        <f t="shared" si="1"/>
        <v>143.25</v>
      </c>
      <c r="N13" s="2">
        <f t="shared" si="1"/>
        <v>39.75</v>
      </c>
      <c r="O13" s="2">
        <f t="shared" si="1"/>
        <v>21</v>
      </c>
      <c r="P13" s="2">
        <f t="shared" si="1"/>
        <v>153.75</v>
      </c>
      <c r="R13" s="154">
        <f>SUM(E13:P13)</f>
        <v>1082.25</v>
      </c>
      <c r="S13" s="78"/>
      <c r="T13" s="78"/>
      <c r="U13" s="164">
        <f>SUM(G13:P13)</f>
        <v>1056</v>
      </c>
      <c r="V13" s="78"/>
    </row>
    <row r="14" spans="1:23" ht="6.95" customHeight="1" thickTop="1" thickBot="1" x14ac:dyDescent="0.3">
      <c r="B14" s="145"/>
      <c r="S14" s="78"/>
      <c r="T14" s="78"/>
      <c r="U14" s="164">
        <f>SUM(G14:P14)</f>
        <v>0</v>
      </c>
      <c r="V14" s="78"/>
    </row>
    <row r="15" spans="1:23" ht="16.5" thickTop="1" thickBot="1" x14ac:dyDescent="0.3">
      <c r="B15" s="145" t="s">
        <v>113</v>
      </c>
      <c r="C15" s="155">
        <v>1</v>
      </c>
      <c r="E15" s="156">
        <f>IF($C15=0,E13,IF($C15=1,0,0))</f>
        <v>0</v>
      </c>
      <c r="F15" s="156">
        <f>IF($C15=0,F13,IF($C15=1,E13,IF($C15=2,0,0)))</f>
        <v>0</v>
      </c>
      <c r="G15" s="156">
        <f>IF($C15=0,G13,IF($C15=1,F13,IF($C15=2,E13,IF($C15=3,0,0))))</f>
        <v>26.25</v>
      </c>
      <c r="H15" s="156">
        <f>IF($C15=0,H13,IF($C15=1,G13,IF($C15=2,F13,IF($C15=3,E13,IF($C15=4,0,0)))))</f>
        <v>6</v>
      </c>
      <c r="I15" s="156">
        <f>IF($C15=0,I13,IF($C15=1,H13,IF($C15=2,G13,IF($C15=3,F13,IF($C15=4,E13,IF($C15=5,0,0))))))</f>
        <v>106.5</v>
      </c>
      <c r="J15" s="156">
        <f>IF($C15=0,J13,IF($C15=1,I13,IF($C15=2,H13,IF($C15=3,G13,IF($C15=4,F13,IF($C15=5,E13,IF($C15=6,0,0)))))))</f>
        <v>113.25</v>
      </c>
      <c r="K15" s="156">
        <f>IF($C15=0,K13,IF($C15=1,J13,IF($C15=2,I13,IF($C15=3,H13,IF($C15=4,G13,IF($C15=5,F13,IF($C15=6,E13,IF($C15-7,0,0))))))))</f>
        <v>144.75</v>
      </c>
      <c r="L15" s="156">
        <f>IF($C15=0,L13,IF($C15=1,K13,IF($C15=2,J13,IF($C15=3,I13,IF($C15=4,H13,IF($C15=5,G13,IF($C15=6,F13,IF($C15=7,E13,0))))))))</f>
        <v>251.25</v>
      </c>
      <c r="M15" s="156">
        <f>IF($C15=0,M13,IF($C15=1,L13,IF($C15=2,K13,IF($C15=3,J13,IF($C15=4,I13,IF($C15=5,H13,IF($C15=6,G13,IF($C15=7,F13,IF($C15=8,E13,0)))))))))</f>
        <v>76.5</v>
      </c>
      <c r="N15" s="156">
        <f>IF($C15=0,N13,IF($C15=1,M13,IF($C15=2,L13,IF($C15=3,K13,IF($C15=4,J13,IF($C15=5,I13,IF($C15=6,H13,IF($C15=7,G13,IF($C15=8,F13,IF($C15=9,E13,0))))))))))</f>
        <v>143.25</v>
      </c>
      <c r="O15" s="156">
        <f>IF($C15=0,O13,IF($C15=1,N13,IF($C15=2,M13,IF($C15=3,L13,IF($C15=4,K13,IF($C15=5,J13,IF($C15=6,I13,IF($C15=7,H13,IF($C15=8,G13,IF($C15=9,F13,IF($C15=10,E13,0)))))))))))</f>
        <v>39.75</v>
      </c>
      <c r="P15" s="156">
        <f>IF($C15=0,P13,IF($C15=1,O13,IF($C15=2,N13,IF($C15=3,M13,IF($C15=4,L13,IF($C15=5,K13,IF($C15=6,J13,IF($C15=7,I13,IF($C15=8,H13,IF($C15=9,G13,IF($C15=10,F13,IF($C15=11,E13,0))))))))))))</f>
        <v>21</v>
      </c>
      <c r="R15" s="154">
        <f>SUM(E15:P15)</f>
        <v>928.5</v>
      </c>
      <c r="S15" s="78"/>
      <c r="T15" s="78"/>
      <c r="U15" s="164">
        <f>SUM(G15:P15)</f>
        <v>928.5</v>
      </c>
      <c r="V15" s="78"/>
    </row>
    <row r="16" spans="1:23" ht="6.95" customHeight="1" thickTop="1" x14ac:dyDescent="0.25">
      <c r="S16" s="78"/>
      <c r="T16" s="78"/>
      <c r="U16" s="78"/>
      <c r="V16" s="78"/>
    </row>
    <row r="17" spans="2:22" ht="15.75" thickBot="1" x14ac:dyDescent="0.3">
      <c r="B17" s="145" t="s">
        <v>114</v>
      </c>
      <c r="E17" s="157">
        <f t="shared" ref="E17:P17" si="2">E$8+E15</f>
        <v>17</v>
      </c>
      <c r="F17" s="157">
        <f t="shared" si="2"/>
        <v>94</v>
      </c>
      <c r="G17" s="157">
        <f t="shared" si="2"/>
        <v>131.25</v>
      </c>
      <c r="H17" s="157">
        <f t="shared" si="2"/>
        <v>105</v>
      </c>
      <c r="I17" s="157">
        <f t="shared" si="2"/>
        <v>123.5</v>
      </c>
      <c r="J17" s="157">
        <f t="shared" si="2"/>
        <v>130.25</v>
      </c>
      <c r="K17" s="157">
        <f t="shared" si="2"/>
        <v>191.75</v>
      </c>
      <c r="L17" s="157">
        <f t="shared" si="2"/>
        <v>298.25</v>
      </c>
      <c r="M17" s="157">
        <f t="shared" si="2"/>
        <v>82.5</v>
      </c>
      <c r="N17" s="157">
        <f t="shared" si="2"/>
        <v>216.25</v>
      </c>
      <c r="O17" s="157">
        <f t="shared" si="2"/>
        <v>132.75</v>
      </c>
      <c r="P17" s="157">
        <f t="shared" si="2"/>
        <v>35</v>
      </c>
      <c r="Q17" s="1"/>
      <c r="R17" s="157">
        <f>SUM(E17:Q17)</f>
        <v>1557.5</v>
      </c>
      <c r="S17" s="158">
        <f>R17/12</f>
        <v>129.79166666666666</v>
      </c>
      <c r="T17" s="158"/>
      <c r="U17" s="164">
        <f>SUM(G17:P17)</f>
        <v>1446.5</v>
      </c>
      <c r="V17" s="158"/>
    </row>
    <row r="18" spans="2:22" ht="15.75" thickTop="1" x14ac:dyDescent="0.25">
      <c r="B18" s="145"/>
      <c r="E18" s="159">
        <f>E17/E$9</f>
        <v>1</v>
      </c>
      <c r="F18" s="159">
        <f t="shared" ref="F18:R18" si="3">F17/F$9</f>
        <v>0.72868217054263562</v>
      </c>
      <c r="G18" s="159">
        <f t="shared" si="3"/>
        <v>1.1615044247787611</v>
      </c>
      <c r="H18" s="159">
        <f t="shared" si="3"/>
        <v>0.43568464730290457</v>
      </c>
      <c r="I18" s="159">
        <f t="shared" si="3"/>
        <v>0.73511904761904767</v>
      </c>
      <c r="J18" s="159">
        <f t="shared" si="3"/>
        <v>0.62023809523809526</v>
      </c>
      <c r="K18" s="159">
        <f t="shared" si="3"/>
        <v>0.50196335078534027</v>
      </c>
      <c r="L18" s="159">
        <f t="shared" si="3"/>
        <v>2.0016778523489931</v>
      </c>
      <c r="M18" s="159">
        <f t="shared" si="3"/>
        <v>0.41878172588832485</v>
      </c>
      <c r="N18" s="159">
        <f t="shared" si="3"/>
        <v>1.7162698412698412</v>
      </c>
      <c r="O18" s="159">
        <f t="shared" si="3"/>
        <v>1.0971074380165289</v>
      </c>
      <c r="P18" s="159">
        <f t="shared" si="3"/>
        <v>0.15981735159817351</v>
      </c>
      <c r="R18" s="159">
        <f t="shared" si="3"/>
        <v>0.75168918918918914</v>
      </c>
      <c r="S18" s="78">
        <f>S17-S49</f>
        <v>-9.2083333333333428</v>
      </c>
      <c r="T18" s="78"/>
      <c r="U18" s="78"/>
      <c r="V18" s="78"/>
    </row>
    <row r="19" spans="2:22" x14ac:dyDescent="0.25">
      <c r="B19" s="1"/>
      <c r="S19" s="78"/>
      <c r="T19" s="78"/>
      <c r="U19" s="78"/>
      <c r="V19" s="78"/>
    </row>
    <row r="20" spans="2:22" ht="15.75" thickBot="1" x14ac:dyDescent="0.3">
      <c r="B20" s="1" t="s">
        <v>115</v>
      </c>
      <c r="S20" s="78"/>
      <c r="T20" s="78"/>
      <c r="U20" s="78"/>
      <c r="V20" s="78"/>
    </row>
    <row r="21" spans="2:22" ht="16.5" thickTop="1" thickBot="1" x14ac:dyDescent="0.3">
      <c r="B21" s="145" t="s">
        <v>112</v>
      </c>
      <c r="C21" s="153">
        <v>0.9</v>
      </c>
      <c r="E21" s="2">
        <f t="shared" ref="E21:P21" si="4">E$7*$C21</f>
        <v>0</v>
      </c>
      <c r="F21" s="2">
        <f t="shared" si="4"/>
        <v>31.5</v>
      </c>
      <c r="G21" s="2">
        <f t="shared" si="4"/>
        <v>7.2</v>
      </c>
      <c r="H21" s="2">
        <f t="shared" si="4"/>
        <v>127.8</v>
      </c>
      <c r="I21" s="2">
        <f t="shared" si="4"/>
        <v>135.9</v>
      </c>
      <c r="J21" s="2">
        <f t="shared" si="4"/>
        <v>173.70000000000002</v>
      </c>
      <c r="K21" s="2">
        <f t="shared" si="4"/>
        <v>301.5</v>
      </c>
      <c r="L21" s="2">
        <f t="shared" si="4"/>
        <v>91.8</v>
      </c>
      <c r="M21" s="2">
        <f t="shared" si="4"/>
        <v>171.9</v>
      </c>
      <c r="N21" s="2">
        <f t="shared" si="4"/>
        <v>47.7</v>
      </c>
      <c r="O21" s="2">
        <f t="shared" si="4"/>
        <v>25.2</v>
      </c>
      <c r="P21" s="2">
        <f t="shared" si="4"/>
        <v>184.5</v>
      </c>
      <c r="R21" s="154">
        <f>SUM(E21:P21)</f>
        <v>1298.7</v>
      </c>
      <c r="S21" s="78"/>
      <c r="T21" s="78"/>
      <c r="U21" s="78"/>
      <c r="V21" s="78"/>
    </row>
    <row r="22" spans="2:22" ht="6.95" customHeight="1" thickTop="1" thickBot="1" x14ac:dyDescent="0.3">
      <c r="B22" s="145"/>
      <c r="S22" s="78"/>
      <c r="T22" s="78"/>
      <c r="U22" s="78"/>
      <c r="V22" s="78"/>
    </row>
    <row r="23" spans="2:22" ht="16.5" thickTop="1" thickBot="1" x14ac:dyDescent="0.3">
      <c r="B23" s="145" t="s">
        <v>113</v>
      </c>
      <c r="C23" s="155">
        <v>1</v>
      </c>
      <c r="E23" s="156">
        <f>IF($C23=0,E21,IF($C23=1,0,0))</f>
        <v>0</v>
      </c>
      <c r="F23" s="156">
        <f>IF($C23=0,F21,IF($C23=1,E21,IF($C23=2,0,0)))</f>
        <v>0</v>
      </c>
      <c r="G23" s="156">
        <f>IF($C23=0,G21,IF($C23=1,F21,IF($C23=2,E21,IF($C23=3,0,0))))</f>
        <v>31.5</v>
      </c>
      <c r="H23" s="156">
        <f>IF($C23=0,H21,IF($C23=1,G21,IF($C23=2,F21,IF($C23=3,E21,IF($C23=4,0,0)))))</f>
        <v>7.2</v>
      </c>
      <c r="I23" s="156">
        <f>IF($C23=0,I21,IF($C23=1,H21,IF($C23=2,G21,IF($C23=3,F21,IF($C23=4,E21,IF($C23=5,0,0))))))</f>
        <v>127.8</v>
      </c>
      <c r="J23" s="156">
        <f>IF($C23=0,J21,IF($C23=1,I21,IF($C23=2,H21,IF($C23=3,G21,IF($C23=4,F21,IF($C23=5,E21,IF($C23=6,0,0)))))))</f>
        <v>135.9</v>
      </c>
      <c r="K23" s="156">
        <f>IF($C23=0,K21,IF($C23=1,J21,IF($C23=2,I21,IF($C23=3,H21,IF($C23=4,G21,IF($C23=5,F21,IF($C23=6,E21,IF($C23-7,0,0))))))))</f>
        <v>173.70000000000002</v>
      </c>
      <c r="L23" s="156">
        <f>IF($C23=0,L21,IF($C23=1,K21,IF($C23=2,J21,IF($C23=3,I21,IF($C23=4,H21,IF($C23=5,G21,IF($C23=6,F21,IF($C23=7,E21,0))))))))</f>
        <v>301.5</v>
      </c>
      <c r="M23" s="156">
        <f>IF($C23=0,M21,IF($C23=1,L21,IF($C23=2,K21,IF($C23=3,J21,IF($C23=4,I21,IF($C23=5,H21,IF($C23=6,G21,IF($C23=7,F21,IF($C23=8,E21,0)))))))))</f>
        <v>91.8</v>
      </c>
      <c r="N23" s="156">
        <f>IF($C23=0,N21,IF($C23=1,M21,IF($C23=2,L21,IF($C23=3,K21,IF($C23=4,J21,IF($C23=5,I21,IF($C23=6,H21,IF($C23=7,G21,IF($C23=8,F21,IF($C23=9,E21,0))))))))))</f>
        <v>171.9</v>
      </c>
      <c r="O23" s="156">
        <f>IF($C23=0,O21,IF($C23=1,N21,IF($C23=2,M21,IF($C23=3,L21,IF($C23=4,K21,IF($C23=5,J21,IF($C23=6,I21,IF($C23=7,H21,IF($C23=8,G21,IF($C23=9,F21,IF($C23=10,E21,0)))))))))))</f>
        <v>47.7</v>
      </c>
      <c r="P23" s="156">
        <f>IF($C23=0,P21,IF($C23=1,O21,IF($C23=2,N21,IF($C23=3,M21,IF($C23=4,L21,IF($C23=5,K21,IF($C23=6,J21,IF($C23=7,I21,IF($C23=8,H21,IF($C23=9,G21,IF($C23=10,F21,IF($C23=11,E21,0))))))))))))</f>
        <v>25.2</v>
      </c>
      <c r="Q23" s="1"/>
      <c r="R23" s="154">
        <f>SUM(E23:P23)</f>
        <v>1114.2</v>
      </c>
      <c r="S23" s="78"/>
      <c r="T23" s="78"/>
      <c r="U23" s="78"/>
      <c r="V23" s="78"/>
    </row>
    <row r="24" spans="2:22" ht="6.95" customHeight="1" thickTop="1" x14ac:dyDescent="0.25">
      <c r="S24" s="78"/>
      <c r="T24" s="78"/>
      <c r="U24" s="78"/>
      <c r="V24" s="78"/>
    </row>
    <row r="25" spans="2:22" ht="15.75" thickBot="1" x14ac:dyDescent="0.3">
      <c r="B25" s="145" t="s">
        <v>114</v>
      </c>
      <c r="E25" s="157">
        <f t="shared" ref="E25:P25" si="5">E$8+E23</f>
        <v>17</v>
      </c>
      <c r="F25" s="157">
        <f t="shared" si="5"/>
        <v>94</v>
      </c>
      <c r="G25" s="157">
        <f t="shared" si="5"/>
        <v>136.5</v>
      </c>
      <c r="H25" s="157">
        <f t="shared" si="5"/>
        <v>106.2</v>
      </c>
      <c r="I25" s="157">
        <f t="shared" si="5"/>
        <v>144.80000000000001</v>
      </c>
      <c r="J25" s="157">
        <f t="shared" si="5"/>
        <v>152.9</v>
      </c>
      <c r="K25" s="157">
        <f t="shared" si="5"/>
        <v>220.70000000000002</v>
      </c>
      <c r="L25" s="157">
        <f t="shared" si="5"/>
        <v>348.5</v>
      </c>
      <c r="M25" s="157">
        <f t="shared" si="5"/>
        <v>97.8</v>
      </c>
      <c r="N25" s="157">
        <f t="shared" si="5"/>
        <v>244.9</v>
      </c>
      <c r="O25" s="157">
        <f t="shared" si="5"/>
        <v>140.69999999999999</v>
      </c>
      <c r="P25" s="157">
        <f t="shared" si="5"/>
        <v>39.200000000000003</v>
      </c>
      <c r="Q25" s="1"/>
      <c r="R25" s="157">
        <f>SUM(E25:Q25)</f>
        <v>1743.2</v>
      </c>
      <c r="S25" s="158">
        <f>R25/12</f>
        <v>145.26666666666668</v>
      </c>
      <c r="T25" s="158"/>
      <c r="U25" s="158"/>
      <c r="V25" s="158"/>
    </row>
    <row r="26" spans="2:22" ht="15.75" thickTop="1" x14ac:dyDescent="0.25">
      <c r="B26" s="145"/>
      <c r="E26" s="159">
        <f>E25/E$9</f>
        <v>1</v>
      </c>
      <c r="F26" s="159">
        <f t="shared" ref="F26:P26" si="6">F25/F$9</f>
        <v>0.72868217054263562</v>
      </c>
      <c r="G26" s="159">
        <f t="shared" si="6"/>
        <v>1.2079646017699115</v>
      </c>
      <c r="H26" s="159">
        <f t="shared" si="6"/>
        <v>0.44066390041493775</v>
      </c>
      <c r="I26" s="159">
        <f t="shared" si="6"/>
        <v>0.86190476190476195</v>
      </c>
      <c r="J26" s="159">
        <f t="shared" si="6"/>
        <v>0.72809523809523813</v>
      </c>
      <c r="K26" s="159">
        <f t="shared" si="6"/>
        <v>0.57774869109947646</v>
      </c>
      <c r="L26" s="159">
        <f t="shared" si="6"/>
        <v>2.3389261744966441</v>
      </c>
      <c r="M26" s="159">
        <f t="shared" si="6"/>
        <v>0.49644670050761419</v>
      </c>
      <c r="N26" s="159">
        <f t="shared" si="6"/>
        <v>1.9436507936507936</v>
      </c>
      <c r="O26" s="159">
        <f t="shared" si="6"/>
        <v>1.1628099173553719</v>
      </c>
      <c r="P26" s="159">
        <f t="shared" si="6"/>
        <v>0.17899543378995436</v>
      </c>
      <c r="R26" s="159">
        <f>R25/R$9</f>
        <v>0.84131274131274136</v>
      </c>
      <c r="S26" s="78">
        <f>S25-S49</f>
        <v>6.2666666666666799</v>
      </c>
      <c r="T26" s="78"/>
      <c r="U26" s="78"/>
      <c r="V26" s="78"/>
    </row>
    <row r="27" spans="2:22" x14ac:dyDescent="0.25">
      <c r="S27" s="78"/>
      <c r="T27" s="78"/>
      <c r="U27" s="78"/>
      <c r="V27" s="78"/>
    </row>
    <row r="28" spans="2:22" ht="15.75" thickBot="1" x14ac:dyDescent="0.3">
      <c r="B28" s="1" t="s">
        <v>116</v>
      </c>
      <c r="S28" s="78"/>
      <c r="T28" s="78"/>
      <c r="U28" s="78"/>
      <c r="V28" s="78"/>
    </row>
    <row r="29" spans="2:22" ht="16.5" thickTop="1" thickBot="1" x14ac:dyDescent="0.3">
      <c r="B29" s="145" t="s">
        <v>112</v>
      </c>
      <c r="C29" s="153">
        <v>0.8</v>
      </c>
      <c r="E29" s="2">
        <f t="shared" ref="E29:P29" si="7">E$7*$C29</f>
        <v>0</v>
      </c>
      <c r="F29" s="2">
        <f t="shared" si="7"/>
        <v>28</v>
      </c>
      <c r="G29" s="2">
        <f t="shared" si="7"/>
        <v>6.4</v>
      </c>
      <c r="H29" s="2">
        <f t="shared" si="7"/>
        <v>113.60000000000001</v>
      </c>
      <c r="I29" s="2">
        <f t="shared" si="7"/>
        <v>120.80000000000001</v>
      </c>
      <c r="J29" s="2">
        <f t="shared" si="7"/>
        <v>154.4</v>
      </c>
      <c r="K29" s="2">
        <f t="shared" si="7"/>
        <v>268</v>
      </c>
      <c r="L29" s="2">
        <f t="shared" si="7"/>
        <v>81.600000000000009</v>
      </c>
      <c r="M29" s="2">
        <f t="shared" si="7"/>
        <v>152.80000000000001</v>
      </c>
      <c r="N29" s="2">
        <f t="shared" si="7"/>
        <v>42.400000000000006</v>
      </c>
      <c r="O29" s="2">
        <f t="shared" si="7"/>
        <v>22.400000000000002</v>
      </c>
      <c r="P29" s="2">
        <f t="shared" si="7"/>
        <v>164</v>
      </c>
      <c r="R29" s="154">
        <f>SUM(E29:P29)</f>
        <v>1154.4000000000001</v>
      </c>
      <c r="S29" s="78"/>
      <c r="T29" s="78"/>
      <c r="U29" s="78"/>
      <c r="V29" s="78"/>
    </row>
    <row r="30" spans="2:22" ht="6.95" customHeight="1" thickTop="1" thickBot="1" x14ac:dyDescent="0.3">
      <c r="B30" s="145"/>
      <c r="S30" s="78"/>
      <c r="T30" s="78"/>
      <c r="U30" s="78"/>
      <c r="V30" s="78"/>
    </row>
    <row r="31" spans="2:22" ht="16.5" thickTop="1" thickBot="1" x14ac:dyDescent="0.3">
      <c r="B31" s="145" t="s">
        <v>113</v>
      </c>
      <c r="C31" s="155">
        <v>3</v>
      </c>
      <c r="E31" s="156">
        <f>IF($C31=0,E29,IF($C31=1,0,0))</f>
        <v>0</v>
      </c>
      <c r="F31" s="156">
        <f>IF($C31=0,F29,IF($C31=1,E29,IF($C31=2,0,0)))</f>
        <v>0</v>
      </c>
      <c r="G31" s="156">
        <f>IF($C31=0,G29,IF($C31=1,F29,IF($C31=2,E29,IF($C31=3,0,0))))</f>
        <v>0</v>
      </c>
      <c r="H31" s="156">
        <f>IF($C31=0,H29,IF($C31=1,G29,IF($C31=2,F29,IF($C31=3,E29,IF($C31=4,0,0)))))</f>
        <v>0</v>
      </c>
      <c r="I31" s="156">
        <f>IF($C31=0,I29,IF($C31=1,H29,IF($C31=2,G29,IF($C31=3,F29,IF($C31=4,E29,IF($C31=5,0,0))))))</f>
        <v>28</v>
      </c>
      <c r="J31" s="156">
        <f>IF($C31=0,J29,IF($C31=1,I29,IF($C31=2,H29,IF($C31=3,G29,IF($C31=4,F29,IF($C31=5,E29,IF($C31=6,0,0)))))))</f>
        <v>6.4</v>
      </c>
      <c r="K31" s="156">
        <f>IF($C31=0,K29,IF($C31=1,J29,IF($C31=2,I29,IF($C31=3,H29,IF($C31=4,G29,IF($C31=5,F29,IF($C31=6,E29,IF($C31-7,0,0))))))))</f>
        <v>113.60000000000001</v>
      </c>
      <c r="L31" s="156">
        <f>IF($C31=0,L29,IF($C31=1,K29,IF($C31=2,J29,IF($C31=3,I29,IF($C31=4,H29,IF($C31=5,G29,IF($C31=6,F29,IF($C31=7,E29,0))))))))</f>
        <v>120.80000000000001</v>
      </c>
      <c r="M31" s="156">
        <f>IF($C31=0,M29,IF($C31=1,L29,IF($C31=2,K29,IF($C31=3,J29,IF($C31=4,I29,IF($C31=5,H29,IF($C31=6,G29,IF($C31=7,F29,IF($C31=8,E29,0)))))))))</f>
        <v>154.4</v>
      </c>
      <c r="N31" s="156">
        <f>IF($C31=0,N29,IF($C31=1,M29,IF($C31=2,L29,IF($C31=3,K29,IF($C31=4,J29,IF($C31=5,I29,IF($C31=6,H29,IF($C31=7,G29,IF($C31=8,F29,IF($C31=9,E29,0))))))))))</f>
        <v>268</v>
      </c>
      <c r="O31" s="156">
        <f>IF($C31=0,O29,IF($C31=1,N29,IF($C31=2,M29,IF($C31=3,L29,IF($C31=4,K29,IF($C31=5,J29,IF($C31=6,I29,IF($C31=7,H29,IF($C31=8,G29,IF($C31=9,F29,IF($C31=10,E29,0)))))))))))</f>
        <v>81.600000000000009</v>
      </c>
      <c r="P31" s="156">
        <f>IF($C31=0,P29,IF($C31=1,O29,IF($C31=2,N29,IF($C31=3,M29,IF($C31=4,L29,IF($C31=5,K29,IF($C31=6,J29,IF($C31=7,I29,IF($C31=8,H29,IF($C31=9,G29,IF($C31=10,F29,IF($C31=11,E29,0))))))))))))</f>
        <v>152.80000000000001</v>
      </c>
      <c r="R31" s="154">
        <f>SUM(E31:P31)</f>
        <v>925.60000000000014</v>
      </c>
      <c r="S31" s="78"/>
      <c r="T31" s="78"/>
      <c r="U31" s="78"/>
      <c r="V31" s="78"/>
    </row>
    <row r="32" spans="2:22" ht="6.95" customHeight="1" thickTop="1" x14ac:dyDescent="0.25">
      <c r="B32" s="145"/>
      <c r="C32" s="3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R32" s="154"/>
      <c r="S32" s="78"/>
      <c r="T32" s="78"/>
      <c r="U32" s="78"/>
      <c r="V32" s="78"/>
    </row>
    <row r="33" spans="2:23" ht="15.75" thickBot="1" x14ac:dyDescent="0.3">
      <c r="B33" s="145" t="s">
        <v>114</v>
      </c>
      <c r="E33" s="157">
        <f t="shared" ref="E33:P33" si="8">E$8+E31</f>
        <v>17</v>
      </c>
      <c r="F33" s="157">
        <f t="shared" si="8"/>
        <v>94</v>
      </c>
      <c r="G33" s="157">
        <f t="shared" si="8"/>
        <v>105</v>
      </c>
      <c r="H33" s="157">
        <f t="shared" si="8"/>
        <v>99</v>
      </c>
      <c r="I33" s="157">
        <f t="shared" si="8"/>
        <v>45</v>
      </c>
      <c r="J33" s="157">
        <f t="shared" si="8"/>
        <v>23.4</v>
      </c>
      <c r="K33" s="157">
        <f t="shared" si="8"/>
        <v>160.60000000000002</v>
      </c>
      <c r="L33" s="157">
        <f t="shared" si="8"/>
        <v>167.8</v>
      </c>
      <c r="M33" s="157">
        <f t="shared" si="8"/>
        <v>160.4</v>
      </c>
      <c r="N33" s="157">
        <f t="shared" si="8"/>
        <v>341</v>
      </c>
      <c r="O33" s="157">
        <f t="shared" si="8"/>
        <v>174.60000000000002</v>
      </c>
      <c r="P33" s="157">
        <f t="shared" si="8"/>
        <v>166.8</v>
      </c>
      <c r="Q33" s="1"/>
      <c r="R33" s="157">
        <f>SUM(E33:Q33)</f>
        <v>1554.5999999999997</v>
      </c>
      <c r="S33" s="158">
        <f>R33/12</f>
        <v>129.54999999999998</v>
      </c>
      <c r="T33" s="158"/>
      <c r="U33" s="158"/>
      <c r="V33" s="158"/>
    </row>
    <row r="34" spans="2:23" ht="15.75" thickTop="1" x14ac:dyDescent="0.25">
      <c r="B34" s="145"/>
      <c r="E34" s="159">
        <f>E33/E$9</f>
        <v>1</v>
      </c>
      <c r="F34" s="159">
        <f t="shared" ref="F34:P34" si="9">F33/F$9</f>
        <v>0.72868217054263562</v>
      </c>
      <c r="G34" s="159">
        <f t="shared" si="9"/>
        <v>0.92920353982300885</v>
      </c>
      <c r="H34" s="159">
        <f t="shared" si="9"/>
        <v>0.41078838174273857</v>
      </c>
      <c r="I34" s="159">
        <f t="shared" si="9"/>
        <v>0.26785714285714285</v>
      </c>
      <c r="J34" s="159">
        <f t="shared" si="9"/>
        <v>0.11142857142857142</v>
      </c>
      <c r="K34" s="159">
        <f t="shared" si="9"/>
        <v>0.42041884816753933</v>
      </c>
      <c r="L34" s="159">
        <f t="shared" si="9"/>
        <v>1.1261744966442955</v>
      </c>
      <c r="M34" s="159">
        <f t="shared" si="9"/>
        <v>0.81421319796954317</v>
      </c>
      <c r="N34" s="159">
        <f t="shared" si="9"/>
        <v>2.7063492063492065</v>
      </c>
      <c r="O34" s="159">
        <f t="shared" si="9"/>
        <v>1.4429752066115704</v>
      </c>
      <c r="P34" s="159">
        <f t="shared" si="9"/>
        <v>0.76164383561643845</v>
      </c>
      <c r="R34" s="159">
        <f>R33/R$9</f>
        <v>0.75028957528957518</v>
      </c>
      <c r="S34" s="78">
        <f>S33-S49</f>
        <v>-9.4500000000000171</v>
      </c>
      <c r="T34" s="78"/>
      <c r="U34" s="78"/>
      <c r="V34" s="78"/>
    </row>
    <row r="35" spans="2:23" x14ac:dyDescent="0.25">
      <c r="S35" s="78"/>
      <c r="T35" s="78"/>
      <c r="U35" s="78"/>
      <c r="V35" s="78"/>
    </row>
    <row r="36" spans="2:23" ht="15.75" thickBot="1" x14ac:dyDescent="0.3">
      <c r="B36" s="1" t="s">
        <v>117</v>
      </c>
      <c r="S36" s="78"/>
      <c r="T36" s="78"/>
      <c r="U36" s="78"/>
      <c r="V36" s="78"/>
    </row>
    <row r="37" spans="2:23" ht="16.5" thickTop="1" thickBot="1" x14ac:dyDescent="0.3">
      <c r="B37" s="145" t="s">
        <v>112</v>
      </c>
      <c r="C37" s="153">
        <v>1</v>
      </c>
      <c r="E37" s="2">
        <f t="shared" ref="E37:P37" si="10">E$7*$C37</f>
        <v>0</v>
      </c>
      <c r="F37" s="2">
        <f t="shared" si="10"/>
        <v>35</v>
      </c>
      <c r="G37" s="2">
        <f t="shared" si="10"/>
        <v>8</v>
      </c>
      <c r="H37" s="2">
        <f t="shared" si="10"/>
        <v>142</v>
      </c>
      <c r="I37" s="2">
        <f t="shared" si="10"/>
        <v>151</v>
      </c>
      <c r="J37" s="2">
        <f t="shared" si="10"/>
        <v>193</v>
      </c>
      <c r="K37" s="2">
        <f t="shared" si="10"/>
        <v>335</v>
      </c>
      <c r="L37" s="2">
        <f t="shared" si="10"/>
        <v>102</v>
      </c>
      <c r="M37" s="2">
        <f t="shared" si="10"/>
        <v>191</v>
      </c>
      <c r="N37" s="2">
        <f t="shared" si="10"/>
        <v>53</v>
      </c>
      <c r="O37" s="2">
        <f t="shared" si="10"/>
        <v>28</v>
      </c>
      <c r="P37" s="2">
        <f t="shared" si="10"/>
        <v>205</v>
      </c>
      <c r="R37" s="154">
        <f>SUM(E37:P37)</f>
        <v>1443</v>
      </c>
      <c r="S37" s="78"/>
      <c r="T37" s="78"/>
      <c r="U37" s="78"/>
      <c r="V37" s="78"/>
    </row>
    <row r="38" spans="2:23" ht="6.95" customHeight="1" thickTop="1" thickBot="1" x14ac:dyDescent="0.3">
      <c r="B38" s="145"/>
      <c r="S38" s="78"/>
      <c r="T38" s="78"/>
      <c r="U38" s="78"/>
      <c r="V38" s="78"/>
    </row>
    <row r="39" spans="2:23" ht="16.5" thickTop="1" thickBot="1" x14ac:dyDescent="0.3">
      <c r="B39" s="145" t="s">
        <v>113</v>
      </c>
      <c r="C39" s="155">
        <v>0</v>
      </c>
      <c r="E39" s="156">
        <f>IF($C39=0,E37,IF($C39=1,0,0))</f>
        <v>0</v>
      </c>
      <c r="F39" s="156">
        <f>IF($C39=0,F37,IF($C39=1,E37,IF($C39=2,0,0)))</f>
        <v>35</v>
      </c>
      <c r="G39" s="156">
        <f>IF($C39=0,G37,IF($C39=1,F37,IF($C39=2,E37,IF($C39=3,0,0))))</f>
        <v>8</v>
      </c>
      <c r="H39" s="156">
        <f>IF($C39=0,H37,IF($C39=1,G37,IF($C39=2,F37,IF($C39=3,E37,IF($C39=4,0,0)))))</f>
        <v>142</v>
      </c>
      <c r="I39" s="156">
        <f>IF($C39=0,I37,IF($C39=1,H37,IF($C39=2,G37,IF($C39=3,F37,IF($C39=4,E37,IF($C39=5,0,0))))))</f>
        <v>151</v>
      </c>
      <c r="J39" s="156">
        <f>IF($C39=0,J37,IF($C39=1,I37,IF($C39=2,H37,IF($C39=3,G37,IF($C39=4,F37,IF($C39=5,E37,IF($C39=6,0,0)))))))</f>
        <v>193</v>
      </c>
      <c r="K39" s="156">
        <f>IF($C39=0,K37,IF($C39=1,J37,IF($C39=2,I37,IF($C39=3,H37,IF($C39=4,G37,IF($C39=5,F37,IF($C39=6,E37,IF($C39-7,0,0))))))))</f>
        <v>335</v>
      </c>
      <c r="L39" s="156">
        <f>IF($C39=0,L37,IF($C39=1,K37,IF($C39=2,J37,IF($C39=3,I37,IF($C39=4,H37,IF($C39=5,G37,IF($C39=6,F37,IF($C39=7,E37,0))))))))</f>
        <v>102</v>
      </c>
      <c r="M39" s="156">
        <f>IF($C39=0,M37,IF($C39=1,L37,IF($C39=2,K37,IF($C39=3,J37,IF($C39=4,I37,IF($C39=5,H37,IF($C39=6,G37,IF($C39=7,F37,IF($C39=8,E37,0)))))))))</f>
        <v>191</v>
      </c>
      <c r="N39" s="156">
        <f>IF($C39=0,N37,IF($C39=1,M37,IF($C39=2,L37,IF($C39=3,K37,IF($C39=4,J37,IF($C39=5,I37,IF($C39=6,H37,IF($C39=7,G37,IF($C39=8,F37,IF($C39=9,E37,0))))))))))</f>
        <v>53</v>
      </c>
      <c r="O39" s="156">
        <f>IF($C39=0,O37,IF($C39=1,N37,IF($C39=2,M37,IF($C39=3,L37,IF($C39=4,K37,IF($C39=5,J37,IF($C39=6,I37,IF($C39=7,H37,IF($C39=8,G37,IF($C39=9,F37,IF($C39=10,E37,0)))))))))))</f>
        <v>28</v>
      </c>
      <c r="P39" s="156">
        <f>IF($C39=0,P37,IF($C39=1,O37,IF($C39=2,N37,IF($C39=3,M37,IF($C39=4,L37,IF($C39=5,K37,IF($C39=6,J37,IF($C39=7,I37,IF($C39=8,H37,IF($C39=9,G37,IF($C39=10,F37,IF($C39=11,E37,0))))))))))))</f>
        <v>205</v>
      </c>
      <c r="R39" s="154">
        <f>SUM(E39:P39)</f>
        <v>1443</v>
      </c>
      <c r="S39" s="78"/>
      <c r="T39" s="78"/>
      <c r="U39" s="78"/>
      <c r="V39" s="78"/>
    </row>
    <row r="40" spans="2:23" ht="6.95" customHeight="1" thickTop="1" x14ac:dyDescent="0.25">
      <c r="S40" s="78"/>
      <c r="T40" s="78"/>
      <c r="U40" s="78"/>
      <c r="V40" s="78"/>
    </row>
    <row r="41" spans="2:23" ht="15.75" thickBot="1" x14ac:dyDescent="0.3">
      <c r="B41" s="145" t="s">
        <v>114</v>
      </c>
      <c r="E41" s="157">
        <f t="shared" ref="E41:P41" si="11">E$8+E39</f>
        <v>17</v>
      </c>
      <c r="F41" s="157">
        <f t="shared" si="11"/>
        <v>129</v>
      </c>
      <c r="G41" s="157">
        <f t="shared" si="11"/>
        <v>113</v>
      </c>
      <c r="H41" s="157">
        <f t="shared" si="11"/>
        <v>241</v>
      </c>
      <c r="I41" s="157">
        <f t="shared" si="11"/>
        <v>168</v>
      </c>
      <c r="J41" s="157">
        <f t="shared" si="11"/>
        <v>210</v>
      </c>
      <c r="K41" s="157">
        <f t="shared" si="11"/>
        <v>382</v>
      </c>
      <c r="L41" s="157">
        <f t="shared" si="11"/>
        <v>149</v>
      </c>
      <c r="M41" s="157">
        <f t="shared" si="11"/>
        <v>197</v>
      </c>
      <c r="N41" s="157">
        <f t="shared" si="11"/>
        <v>126</v>
      </c>
      <c r="O41" s="157">
        <f t="shared" si="11"/>
        <v>121</v>
      </c>
      <c r="P41" s="157">
        <f t="shared" si="11"/>
        <v>219</v>
      </c>
      <c r="Q41" s="1"/>
      <c r="R41" s="157">
        <f>SUM(E41:Q41)</f>
        <v>2072</v>
      </c>
      <c r="S41" s="158">
        <f>R41/12</f>
        <v>172.66666666666666</v>
      </c>
      <c r="T41" s="158"/>
      <c r="U41" s="158"/>
      <c r="V41" s="158"/>
    </row>
    <row r="42" spans="2:23" ht="15.75" thickTop="1" x14ac:dyDescent="0.25">
      <c r="B42" s="145"/>
      <c r="E42" s="159">
        <f>E41/E$9</f>
        <v>1</v>
      </c>
      <c r="F42" s="159">
        <f t="shared" ref="F42:P42" si="12">F41/F$9</f>
        <v>1</v>
      </c>
      <c r="G42" s="159">
        <f t="shared" si="12"/>
        <v>1</v>
      </c>
      <c r="H42" s="159">
        <f t="shared" si="12"/>
        <v>1</v>
      </c>
      <c r="I42" s="159">
        <f t="shared" si="12"/>
        <v>1</v>
      </c>
      <c r="J42" s="159">
        <f t="shared" si="12"/>
        <v>1</v>
      </c>
      <c r="K42" s="159">
        <f t="shared" si="12"/>
        <v>1</v>
      </c>
      <c r="L42" s="159">
        <f t="shared" si="12"/>
        <v>1</v>
      </c>
      <c r="M42" s="159">
        <f t="shared" si="12"/>
        <v>1</v>
      </c>
      <c r="N42" s="159">
        <f t="shared" si="12"/>
        <v>1</v>
      </c>
      <c r="O42" s="159">
        <f t="shared" si="12"/>
        <v>1</v>
      </c>
      <c r="P42" s="159">
        <f t="shared" si="12"/>
        <v>1</v>
      </c>
      <c r="R42" s="159">
        <f>R41/R$9</f>
        <v>1</v>
      </c>
      <c r="S42" s="78">
        <f>S41-S49</f>
        <v>33.666666666666657</v>
      </c>
      <c r="T42" s="78"/>
      <c r="U42" s="78"/>
      <c r="V42" s="78"/>
    </row>
    <row r="45" spans="2:23" x14ac:dyDescent="0.25">
      <c r="O45" s="1" t="s">
        <v>118</v>
      </c>
      <c r="W45" s="3" t="s">
        <v>119</v>
      </c>
    </row>
    <row r="46" spans="2:23" x14ac:dyDescent="0.25">
      <c r="O46" t="s">
        <v>120</v>
      </c>
      <c r="S46" s="160">
        <v>118</v>
      </c>
      <c r="T46" s="160"/>
      <c r="U46" s="160"/>
      <c r="V46" s="160"/>
      <c r="W46" s="158"/>
    </row>
    <row r="47" spans="2:23" x14ac:dyDescent="0.25">
      <c r="O47" t="s">
        <v>121</v>
      </c>
      <c r="S47" s="160">
        <v>6</v>
      </c>
      <c r="T47" s="160"/>
      <c r="U47" s="160"/>
      <c r="V47" s="160"/>
      <c r="W47" s="158"/>
    </row>
    <row r="48" spans="2:23" x14ac:dyDescent="0.25">
      <c r="O48" t="s">
        <v>122</v>
      </c>
      <c r="S48" s="160">
        <v>15</v>
      </c>
      <c r="T48" s="160"/>
      <c r="U48" s="160"/>
      <c r="V48" s="160"/>
      <c r="W48" s="158"/>
    </row>
    <row r="49" spans="19:23" x14ac:dyDescent="0.25">
      <c r="S49" s="158">
        <f>SUM(S46:S48)</f>
        <v>139</v>
      </c>
      <c r="T49" s="158"/>
      <c r="U49" s="158"/>
      <c r="V49" s="158"/>
      <c r="W49" s="158">
        <f>S49*12</f>
        <v>1668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MONTHS SLIP" prompt="Choose a number of months pipeline might slip." xr:uid="{00000000-0002-0000-0800-000000000000}">
          <x14:formula1>
            <xm:f>DATA!$A$3:$A$14</xm:f>
          </x14:formula1>
          <xm:sqref>D15 D39 D23 D31:D32</xm:sqref>
        </x14:dataValidation>
        <x14:dataValidation type="list" allowBlank="1" showInputMessage="1" showErrorMessage="1" promptTitle="PERCENTAGE SLIP" prompt="Choose a scenario percentage pipeline loss." xr:uid="{00000000-0002-0000-0800-000001000000}">
          <x14:formula1>
            <xm:f>DATA!$B$2:$B$41</xm:f>
          </x14:formula1>
          <xm:sqref>C13:D13 C21:D21 C29:D29 C37:D37</xm:sqref>
        </x14:dataValidation>
        <x14:dataValidation type="list" allowBlank="1" showInputMessage="1" showErrorMessage="1" promptTitle="MONTHS SLIP" prompt="Choose a number of months pipeline might slip." xr:uid="{00000000-0002-0000-0800-000002000000}">
          <x14:formula1>
            <xm:f>DATA!$A$2:$A$14</xm:f>
          </x14:formula1>
          <xm:sqref>C15 C23 C39 C31:C32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W36"/>
  <sheetViews>
    <sheetView zoomScaleNormal="100" workbookViewId="0">
      <pane xSplit="5" ySplit="4" topLeftCell="F5" activePane="bottomRight" state="frozen"/>
      <selection pane="topRight" activeCell="G8" sqref="G8:P8"/>
      <selection pane="bottomLeft" activeCell="G8" sqref="G8:P8"/>
      <selection pane="bottomRight" activeCell="G8" sqref="G8:P8"/>
    </sheetView>
  </sheetViews>
  <sheetFormatPr defaultRowHeight="15" x14ac:dyDescent="0.25"/>
  <cols>
    <col min="1" max="3" width="9.140625" style="1"/>
    <col min="5" max="5" width="10.7109375" hidden="1" customWidth="1"/>
    <col min="6" max="15" width="10.7109375" customWidth="1"/>
    <col min="16" max="16" width="10.7109375" hidden="1" customWidth="1"/>
    <col min="17" max="17" width="23.7109375" customWidth="1"/>
    <col min="18" max="19" width="0" hidden="1" customWidth="1"/>
    <col min="20" max="20" width="10.42578125" customWidth="1"/>
  </cols>
  <sheetData>
    <row r="1" spans="1:23" x14ac:dyDescent="0.25">
      <c r="A1" s="1" t="s">
        <v>0</v>
      </c>
    </row>
    <row r="2" spans="1:23" x14ac:dyDescent="0.25">
      <c r="A2" s="1" t="s">
        <v>123</v>
      </c>
    </row>
    <row r="3" spans="1:23" x14ac:dyDescent="0.25">
      <c r="A3" s="101" t="s">
        <v>124</v>
      </c>
      <c r="B3" s="82"/>
      <c r="C3" s="82"/>
    </row>
    <row r="4" spans="1:23" x14ac:dyDescent="0.25"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/>
      <c r="T4" s="1" t="s">
        <v>16</v>
      </c>
    </row>
    <row r="5" spans="1:23" x14ac:dyDescent="0.25">
      <c r="A5" s="1" t="s">
        <v>125</v>
      </c>
    </row>
    <row r="6" spans="1:23" x14ac:dyDescent="0.25">
      <c r="A6" s="1" t="s">
        <v>20</v>
      </c>
      <c r="E6" s="163" t="e">
        <f>+'Cash flow proforma 20-21'!#REF!</f>
        <v>#REF!</v>
      </c>
      <c r="F6" s="163" t="e">
        <f>+E21</f>
        <v>#REF!</v>
      </c>
      <c r="G6" s="163" t="e">
        <f t="shared" ref="G6:O6" si="0">+F21</f>
        <v>#REF!</v>
      </c>
      <c r="H6" s="163" t="e">
        <f t="shared" si="0"/>
        <v>#REF!</v>
      </c>
      <c r="I6" s="163" t="e">
        <f t="shared" si="0"/>
        <v>#REF!</v>
      </c>
      <c r="J6" s="163" t="e">
        <f t="shared" si="0"/>
        <v>#REF!</v>
      </c>
      <c r="K6" s="163" t="e">
        <f t="shared" si="0"/>
        <v>#REF!</v>
      </c>
      <c r="L6" s="163" t="e">
        <f t="shared" si="0"/>
        <v>#REF!</v>
      </c>
      <c r="M6" s="163" t="e">
        <f t="shared" si="0"/>
        <v>#REF!</v>
      </c>
      <c r="N6" s="163" t="e">
        <f t="shared" si="0"/>
        <v>#REF!</v>
      </c>
      <c r="O6" s="163" t="e">
        <f t="shared" si="0"/>
        <v>#REF!</v>
      </c>
      <c r="P6" s="163" t="e">
        <f>SUM(E6:O6)</f>
        <v>#REF!</v>
      </c>
    </row>
    <row r="7" spans="1:23" x14ac:dyDescent="0.25"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W7" s="163"/>
    </row>
    <row r="8" spans="1:23" x14ac:dyDescent="0.25">
      <c r="A8" s="1" t="s">
        <v>21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U8" t="s">
        <v>22</v>
      </c>
    </row>
    <row r="9" spans="1:23" x14ac:dyDescent="0.25">
      <c r="A9" s="167" t="s">
        <v>126</v>
      </c>
      <c r="B9" s="167"/>
      <c r="C9" s="167"/>
      <c r="D9" s="168" t="s">
        <v>127</v>
      </c>
      <c r="E9" s="169" t="e">
        <f>+'Cash flow proforma 20-21'!#REF!</f>
        <v>#REF!</v>
      </c>
      <c r="F9" s="169">
        <f>+'NEW MAIN'!G7*1000</f>
        <v>8000</v>
      </c>
      <c r="G9" s="169">
        <f>+'NEW MAIN'!H7*1000</f>
        <v>142000</v>
      </c>
      <c r="H9" s="169">
        <f>+'NEW MAIN'!I7*1000</f>
        <v>151000</v>
      </c>
      <c r="I9" s="169">
        <f>+'NEW MAIN'!J7*1000</f>
        <v>193000</v>
      </c>
      <c r="J9" s="169">
        <f>+'NEW MAIN'!K7*1000</f>
        <v>335000</v>
      </c>
      <c r="K9" s="169">
        <f>+'NEW MAIN'!L7*1000</f>
        <v>102000</v>
      </c>
      <c r="L9" s="169">
        <f>+'NEW MAIN'!M7*1000</f>
        <v>191000</v>
      </c>
      <c r="M9" s="169">
        <f>+'NEW MAIN'!N7*1000</f>
        <v>53000</v>
      </c>
      <c r="N9" s="169">
        <f>+'NEW MAIN'!O7*1000</f>
        <v>28000</v>
      </c>
      <c r="O9" s="169">
        <f>+'NEW MAIN'!P7*1000</f>
        <v>205000</v>
      </c>
      <c r="P9" s="163" t="e">
        <f>SUM(E9:O9)</f>
        <v>#REF!</v>
      </c>
      <c r="Q9" t="s">
        <v>128</v>
      </c>
      <c r="T9" s="163">
        <f>SUM(F9:O9)</f>
        <v>1408000</v>
      </c>
      <c r="U9">
        <v>1302</v>
      </c>
    </row>
    <row r="10" spans="1:23" x14ac:dyDescent="0.25">
      <c r="A10" s="1" t="s">
        <v>129</v>
      </c>
      <c r="E10" s="163" t="e">
        <f>+'Cash flow proforma 20-21'!#REF!</f>
        <v>#REF!</v>
      </c>
      <c r="F10" s="165">
        <f>+'NEW MAIN'!G8*1000</f>
        <v>105000</v>
      </c>
      <c r="G10" s="165">
        <f>+'NEW MAIN'!H8*1000</f>
        <v>99000</v>
      </c>
      <c r="H10" s="165">
        <f>+'NEW MAIN'!I8*1000</f>
        <v>17000</v>
      </c>
      <c r="I10" s="165">
        <f>+'NEW MAIN'!J8*1000</f>
        <v>17000</v>
      </c>
      <c r="J10" s="165">
        <f>+'NEW MAIN'!K8*1000</f>
        <v>47000</v>
      </c>
      <c r="K10" s="165">
        <f>+'NEW MAIN'!L8*1000</f>
        <v>47000</v>
      </c>
      <c r="L10" s="165">
        <f>+'NEW MAIN'!M8*1000</f>
        <v>6000</v>
      </c>
      <c r="M10" s="165">
        <f>+'NEW MAIN'!N8*1000</f>
        <v>73000</v>
      </c>
      <c r="N10" s="165">
        <f>+'NEW MAIN'!O8*1000</f>
        <v>93000</v>
      </c>
      <c r="O10" s="165">
        <f>+'NEW MAIN'!P8*1000</f>
        <v>14000</v>
      </c>
      <c r="P10" s="163" t="e">
        <f>SUM(E10:O10)</f>
        <v>#REF!</v>
      </c>
      <c r="Q10" t="s">
        <v>128</v>
      </c>
      <c r="T10" s="163">
        <f>SUM(F10:O10)</f>
        <v>518000</v>
      </c>
      <c r="U10">
        <v>627</v>
      </c>
    </row>
    <row r="11" spans="1:23" x14ac:dyDescent="0.25">
      <c r="E11" s="163"/>
      <c r="F11" s="163">
        <f>SUM(F9:F10)</f>
        <v>113000</v>
      </c>
      <c r="G11" s="163">
        <f t="shared" ref="G11:O11" si="1">SUM(G9:G10)</f>
        <v>241000</v>
      </c>
      <c r="H11" s="163">
        <f t="shared" si="1"/>
        <v>168000</v>
      </c>
      <c r="I11" s="163">
        <f t="shared" si="1"/>
        <v>210000</v>
      </c>
      <c r="J11" s="163">
        <f t="shared" si="1"/>
        <v>382000</v>
      </c>
      <c r="K11" s="163">
        <f t="shared" si="1"/>
        <v>149000</v>
      </c>
      <c r="L11" s="163">
        <f t="shared" si="1"/>
        <v>197000</v>
      </c>
      <c r="M11" s="163">
        <f t="shared" si="1"/>
        <v>126000</v>
      </c>
      <c r="N11" s="163">
        <f t="shared" si="1"/>
        <v>121000</v>
      </c>
      <c r="O11" s="163">
        <f t="shared" si="1"/>
        <v>219000</v>
      </c>
      <c r="P11" s="163"/>
      <c r="T11" s="166">
        <f>SUM(T9:T10)</f>
        <v>1926000</v>
      </c>
    </row>
    <row r="12" spans="1:23" x14ac:dyDescent="0.25"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</row>
    <row r="13" spans="1:23" x14ac:dyDescent="0.25">
      <c r="A13" s="1" t="s">
        <v>130</v>
      </c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</row>
    <row r="14" spans="1:23" x14ac:dyDescent="0.25">
      <c r="A14" s="1" t="s">
        <v>131</v>
      </c>
      <c r="E14" s="163" t="e">
        <f>+'Cash flow proforma 20-21'!#REF!</f>
        <v>#REF!</v>
      </c>
      <c r="F14" s="163" t="e">
        <f>+'Cash flow proforma 20-21'!#REF!</f>
        <v>#REF!</v>
      </c>
      <c r="G14" s="163" t="e">
        <f>+'Cash flow proforma 20-21'!#REF!</f>
        <v>#REF!</v>
      </c>
      <c r="H14" s="163" t="e">
        <f>+'Cash flow proforma 20-21'!#REF!</f>
        <v>#REF!</v>
      </c>
      <c r="I14" s="163" t="e">
        <f>+'Cash flow proforma 20-21'!#REF!</f>
        <v>#REF!</v>
      </c>
      <c r="J14" s="163" t="e">
        <f>+'Cash flow proforma 20-21'!#REF!</f>
        <v>#REF!</v>
      </c>
      <c r="K14" s="163" t="e">
        <f>+'Cash flow proforma 20-21'!#REF!</f>
        <v>#REF!</v>
      </c>
      <c r="L14" s="163" t="e">
        <f>+'Cash flow proforma 20-21'!#REF!</f>
        <v>#REF!</v>
      </c>
      <c r="M14" s="163" t="e">
        <f>+'Cash flow proforma 20-21'!#REF!</f>
        <v>#REF!</v>
      </c>
      <c r="N14" s="163" t="e">
        <f>+'Cash flow proforma 20-21'!#REF!</f>
        <v>#REF!</v>
      </c>
      <c r="O14" s="163" t="e">
        <f>+'Cash flow proforma 20-21'!#REF!</f>
        <v>#REF!</v>
      </c>
      <c r="P14" s="163" t="e">
        <f>SUM(E14:O14)</f>
        <v>#REF!</v>
      </c>
      <c r="T14" s="163" t="e">
        <f>SUM(F14:O14)</f>
        <v>#REF!</v>
      </c>
    </row>
    <row r="15" spans="1:23" x14ac:dyDescent="0.25">
      <c r="A15" s="1" t="s">
        <v>132</v>
      </c>
      <c r="E15" s="163" t="e">
        <f>+'Cash flow proforma 20-21'!#REF!+'Cash flow proforma 20-21'!#REF!+'Cash flow proforma 20-21'!#REF!+'Cash flow proforma 20-21'!#REF!+'Cash flow proforma 20-21'!#REF!+'Cash flow proforma 20-21'!#REF!</f>
        <v>#REF!</v>
      </c>
      <c r="F15" s="163" t="e">
        <f>+'Cash flow proforma 20-21'!#REF!</f>
        <v>#REF!</v>
      </c>
      <c r="G15" s="163" t="e">
        <f>+'Cash flow proforma 20-21'!#REF!</f>
        <v>#REF!</v>
      </c>
      <c r="H15" s="163" t="e">
        <f>+'Cash flow proforma 20-21'!#REF!</f>
        <v>#REF!</v>
      </c>
      <c r="I15" s="163" t="e">
        <f>+'Cash flow proforma 20-21'!#REF!</f>
        <v>#REF!</v>
      </c>
      <c r="J15" s="163" t="e">
        <f>+'Cash flow proforma 20-21'!#REF!</f>
        <v>#REF!</v>
      </c>
      <c r="K15" s="163" t="e">
        <f>+'Cash flow proforma 20-21'!#REF!</f>
        <v>#REF!</v>
      </c>
      <c r="L15" s="163" t="e">
        <f>+'Cash flow proforma 20-21'!#REF!</f>
        <v>#REF!</v>
      </c>
      <c r="M15" s="163" t="e">
        <f>+'Cash flow proforma 20-21'!#REF!</f>
        <v>#REF!</v>
      </c>
      <c r="N15" s="163" t="e">
        <f>+'Cash flow proforma 20-21'!#REF!</f>
        <v>#REF!</v>
      </c>
      <c r="O15" s="163" t="e">
        <f>+'Cash flow proforma 20-21'!#REF!</f>
        <v>#REF!</v>
      </c>
      <c r="P15" s="163" t="e">
        <f>SUM(E15:O15)</f>
        <v>#REF!</v>
      </c>
      <c r="T15" s="163" t="e">
        <f>SUM(F15:O15)</f>
        <v>#REF!</v>
      </c>
    </row>
    <row r="16" spans="1:23" x14ac:dyDescent="0.25">
      <c r="A16" s="1" t="s">
        <v>133</v>
      </c>
      <c r="E16" s="163" t="e">
        <f>SUM('Cash flow proforma 20-21'!#REF!)+'Cash flow proforma 20-21'!#REF!</f>
        <v>#REF!</v>
      </c>
      <c r="F16" s="165" t="e">
        <f>+'Cash flow proforma 20-21'!#REF!</f>
        <v>#REF!</v>
      </c>
      <c r="G16" s="163" t="e">
        <f>+'Cash flow proforma 20-21'!#REF!</f>
        <v>#REF!</v>
      </c>
      <c r="H16" s="163" t="e">
        <f>+'Cash flow proforma 20-21'!#REF!</f>
        <v>#REF!</v>
      </c>
      <c r="I16" s="163" t="e">
        <f>+'Cash flow proforma 20-21'!#REF!</f>
        <v>#REF!</v>
      </c>
      <c r="J16" s="163" t="e">
        <f>+'Cash flow proforma 20-21'!#REF!</f>
        <v>#REF!</v>
      </c>
      <c r="K16" s="163" t="e">
        <f>+'Cash flow proforma 20-21'!#REF!</f>
        <v>#REF!</v>
      </c>
      <c r="L16" s="163" t="e">
        <f>+'Cash flow proforma 20-21'!#REF!</f>
        <v>#REF!</v>
      </c>
      <c r="M16" s="163" t="e">
        <f>+'Cash flow proforma 20-21'!#REF!</f>
        <v>#REF!</v>
      </c>
      <c r="N16" s="163" t="e">
        <f>+'Cash flow proforma 20-21'!#REF!</f>
        <v>#REF!</v>
      </c>
      <c r="O16" s="163" t="e">
        <f>+'Cash flow proforma 20-21'!#REF!</f>
        <v>#REF!</v>
      </c>
      <c r="P16" s="163" t="e">
        <f>SUM(E16:O16)</f>
        <v>#REF!</v>
      </c>
      <c r="T16" s="163" t="e">
        <f>SUM(F16:O16)</f>
        <v>#REF!</v>
      </c>
    </row>
    <row r="17" spans="1:23" x14ac:dyDescent="0.25">
      <c r="E17" s="163"/>
      <c r="F17" s="166" t="e">
        <f>SUM(F14:F16)</f>
        <v>#REF!</v>
      </c>
      <c r="G17" s="166" t="e">
        <f t="shared" ref="G17:O17" si="2">SUM(G14:G16)</f>
        <v>#REF!</v>
      </c>
      <c r="H17" s="166" t="e">
        <f t="shared" si="2"/>
        <v>#REF!</v>
      </c>
      <c r="I17" s="166" t="e">
        <f t="shared" si="2"/>
        <v>#REF!</v>
      </c>
      <c r="J17" s="166" t="e">
        <f t="shared" si="2"/>
        <v>#REF!</v>
      </c>
      <c r="K17" s="166" t="e">
        <f t="shared" si="2"/>
        <v>#REF!</v>
      </c>
      <c r="L17" s="166" t="e">
        <f t="shared" si="2"/>
        <v>#REF!</v>
      </c>
      <c r="M17" s="166" t="e">
        <f t="shared" si="2"/>
        <v>#REF!</v>
      </c>
      <c r="N17" s="166" t="e">
        <f t="shared" si="2"/>
        <v>#REF!</v>
      </c>
      <c r="O17" s="166" t="e">
        <f t="shared" si="2"/>
        <v>#REF!</v>
      </c>
      <c r="P17" s="163"/>
      <c r="T17" s="163" t="e">
        <f>SUM(T14:T16)</f>
        <v>#REF!</v>
      </c>
    </row>
    <row r="18" spans="1:23" x14ac:dyDescent="0.25"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</row>
    <row r="19" spans="1:23" x14ac:dyDescent="0.25">
      <c r="A19" s="203" t="s">
        <v>134</v>
      </c>
      <c r="B19" s="203"/>
      <c r="C19" s="203"/>
      <c r="D19" s="204"/>
      <c r="E19" s="205"/>
      <c r="F19" s="205" t="e">
        <f>+F11+F17</f>
        <v>#REF!</v>
      </c>
      <c r="G19" s="205" t="e">
        <f t="shared" ref="G19:O19" si="3">+G11+G17</f>
        <v>#REF!</v>
      </c>
      <c r="H19" s="205" t="e">
        <f t="shared" si="3"/>
        <v>#REF!</v>
      </c>
      <c r="I19" s="205" t="e">
        <f t="shared" si="3"/>
        <v>#REF!</v>
      </c>
      <c r="J19" s="205" t="e">
        <f t="shared" si="3"/>
        <v>#REF!</v>
      </c>
      <c r="K19" s="205" t="e">
        <f t="shared" si="3"/>
        <v>#REF!</v>
      </c>
      <c r="L19" s="205" t="e">
        <f t="shared" si="3"/>
        <v>#REF!</v>
      </c>
      <c r="M19" s="205" t="e">
        <f t="shared" si="3"/>
        <v>#REF!</v>
      </c>
      <c r="N19" s="205" t="e">
        <f t="shared" si="3"/>
        <v>#REF!</v>
      </c>
      <c r="O19" s="205" t="e">
        <f t="shared" si="3"/>
        <v>#REF!</v>
      </c>
      <c r="P19" s="163"/>
    </row>
    <row r="20" spans="1:23" x14ac:dyDescent="0.25"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</row>
    <row r="21" spans="1:23" ht="27" customHeight="1" x14ac:dyDescent="0.25">
      <c r="A21" s="178" t="s">
        <v>47</v>
      </c>
      <c r="B21" s="178"/>
      <c r="C21" s="178"/>
      <c r="D21" s="179"/>
      <c r="E21" s="180" t="e">
        <f>SUM(E6:E20)</f>
        <v>#REF!</v>
      </c>
      <c r="F21" s="180" t="e">
        <f>+F19+F6</f>
        <v>#REF!</v>
      </c>
      <c r="G21" s="180" t="e">
        <f t="shared" ref="G21:O21" si="4">+G19+G6</f>
        <v>#REF!</v>
      </c>
      <c r="H21" s="180" t="e">
        <f t="shared" si="4"/>
        <v>#REF!</v>
      </c>
      <c r="I21" s="180" t="e">
        <f t="shared" si="4"/>
        <v>#REF!</v>
      </c>
      <c r="J21" s="180" t="e">
        <f t="shared" si="4"/>
        <v>#REF!</v>
      </c>
      <c r="K21" s="180" t="e">
        <f t="shared" si="4"/>
        <v>#REF!</v>
      </c>
      <c r="L21" s="180" t="e">
        <f t="shared" si="4"/>
        <v>#REF!</v>
      </c>
      <c r="M21" s="180" t="e">
        <f t="shared" si="4"/>
        <v>#REF!</v>
      </c>
      <c r="N21" s="180" t="e">
        <f t="shared" si="4"/>
        <v>#REF!</v>
      </c>
      <c r="O21" s="180" t="e">
        <f t="shared" si="4"/>
        <v>#REF!</v>
      </c>
      <c r="P21" s="163" t="e">
        <f>SUM(E21:O21)</f>
        <v>#REF!</v>
      </c>
      <c r="Q21" s="132" t="s">
        <v>26</v>
      </c>
    </row>
    <row r="22" spans="1:23" x14ac:dyDescent="0.25"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</row>
    <row r="24" spans="1:23" ht="15.75" customHeight="1" x14ac:dyDescent="0.25">
      <c r="A24" s="1" t="s">
        <v>135</v>
      </c>
      <c r="U24" t="s">
        <v>49</v>
      </c>
    </row>
    <row r="25" spans="1:23" ht="15.75" customHeight="1" x14ac:dyDescent="0.25">
      <c r="A25" s="174" t="s">
        <v>136</v>
      </c>
      <c r="B25" s="174"/>
      <c r="C25" s="174"/>
      <c r="D25" s="175"/>
      <c r="E25" s="175"/>
      <c r="F25" s="176" t="e">
        <f>+F6</f>
        <v>#REF!</v>
      </c>
      <c r="G25" s="176" t="e">
        <f>+F29</f>
        <v>#REF!</v>
      </c>
      <c r="H25" s="176" t="e">
        <f t="shared" ref="H25:O25" si="5">+G29</f>
        <v>#REF!</v>
      </c>
      <c r="I25" s="176" t="e">
        <f t="shared" si="5"/>
        <v>#REF!</v>
      </c>
      <c r="J25" s="176" t="e">
        <f t="shared" si="5"/>
        <v>#REF!</v>
      </c>
      <c r="K25" s="176" t="e">
        <f t="shared" si="5"/>
        <v>#REF!</v>
      </c>
      <c r="L25" s="176" t="e">
        <f t="shared" si="5"/>
        <v>#REF!</v>
      </c>
      <c r="M25" s="176" t="e">
        <f t="shared" si="5"/>
        <v>#REF!</v>
      </c>
      <c r="N25" s="176" t="e">
        <f t="shared" si="5"/>
        <v>#REF!</v>
      </c>
      <c r="O25" s="176" t="e">
        <f t="shared" si="5"/>
        <v>#REF!</v>
      </c>
    </row>
    <row r="26" spans="1:23" ht="15.75" customHeight="1" x14ac:dyDescent="0.25">
      <c r="A26" s="181" t="s">
        <v>137</v>
      </c>
      <c r="B26" s="181"/>
      <c r="C26" s="181"/>
      <c r="D26" s="182"/>
      <c r="E26" s="182"/>
      <c r="F26" s="183">
        <f t="shared" ref="F26:O26" si="6">-F9</f>
        <v>-8000</v>
      </c>
      <c r="G26" s="183">
        <f t="shared" si="6"/>
        <v>-142000</v>
      </c>
      <c r="H26" s="183">
        <f t="shared" si="6"/>
        <v>-151000</v>
      </c>
      <c r="I26" s="183">
        <f t="shared" si="6"/>
        <v>-193000</v>
      </c>
      <c r="J26" s="183">
        <f t="shared" si="6"/>
        <v>-335000</v>
      </c>
      <c r="K26" s="183">
        <f t="shared" si="6"/>
        <v>-102000</v>
      </c>
      <c r="L26" s="183">
        <f t="shared" si="6"/>
        <v>-191000</v>
      </c>
      <c r="M26" s="183">
        <f t="shared" si="6"/>
        <v>-53000</v>
      </c>
      <c r="N26" s="183">
        <f t="shared" si="6"/>
        <v>-28000</v>
      </c>
      <c r="O26" s="183">
        <f t="shared" si="6"/>
        <v>-205000</v>
      </c>
      <c r="T26" s="163">
        <f>SUM(F26:O26)</f>
        <v>-1408000</v>
      </c>
      <c r="W26" s="163" t="e">
        <f>+O21</f>
        <v>#REF!</v>
      </c>
    </row>
    <row r="27" spans="1:23" ht="15.75" customHeight="1" x14ac:dyDescent="0.25">
      <c r="A27" s="174" t="s">
        <v>23</v>
      </c>
      <c r="B27" s="174" t="str">
        <f>+'NEW MAIN'!B13</f>
        <v>A &gt; % SLIP</v>
      </c>
      <c r="C27" s="177">
        <f>+'NEW MAIN'!C13</f>
        <v>0.75</v>
      </c>
      <c r="D27" s="175"/>
      <c r="E27" s="175"/>
      <c r="F27" s="176">
        <f>+'NEW MAIN'!G13*1000</f>
        <v>6000</v>
      </c>
      <c r="G27" s="176">
        <f>+'NEW MAIN'!H13*1000</f>
        <v>106500</v>
      </c>
      <c r="H27" s="176">
        <f>+'NEW MAIN'!I13*1000</f>
        <v>113250</v>
      </c>
      <c r="I27" s="176">
        <f>+'NEW MAIN'!J13*1000</f>
        <v>144750</v>
      </c>
      <c r="J27" s="176">
        <f>+'NEW MAIN'!K13*1000</f>
        <v>251250</v>
      </c>
      <c r="K27" s="176">
        <f>+'NEW MAIN'!L13*1000</f>
        <v>76500</v>
      </c>
      <c r="L27" s="176">
        <f>+'NEW MAIN'!M13*1000</f>
        <v>143250</v>
      </c>
      <c r="M27" s="176">
        <f>+'NEW MAIN'!N13*1000</f>
        <v>39750</v>
      </c>
      <c r="N27" s="176">
        <f>+'NEW MAIN'!O13*1000</f>
        <v>21000</v>
      </c>
      <c r="O27" s="176">
        <f>+'NEW MAIN'!P13*1000</f>
        <v>153750</v>
      </c>
      <c r="T27" s="163">
        <f>SUM(F27:O27)</f>
        <v>1056000</v>
      </c>
      <c r="U27">
        <f>+(T9)*C27</f>
        <v>1056000</v>
      </c>
      <c r="V27" t="s">
        <v>50</v>
      </c>
      <c r="W27" s="163">
        <f>+T27-T9</f>
        <v>-352000</v>
      </c>
    </row>
    <row r="28" spans="1:23" ht="15.75" customHeight="1" x14ac:dyDescent="0.25">
      <c r="A28" s="203" t="s">
        <v>138</v>
      </c>
      <c r="B28" s="203"/>
      <c r="C28" s="203"/>
      <c r="D28" s="204"/>
      <c r="E28" s="205"/>
      <c r="F28" s="205" t="e">
        <f t="shared" ref="F28:O28" si="7">+F19</f>
        <v>#REF!</v>
      </c>
      <c r="G28" s="205" t="e">
        <f t="shared" si="7"/>
        <v>#REF!</v>
      </c>
      <c r="H28" s="205" t="e">
        <f t="shared" si="7"/>
        <v>#REF!</v>
      </c>
      <c r="I28" s="205" t="e">
        <f t="shared" si="7"/>
        <v>#REF!</v>
      </c>
      <c r="J28" s="205" t="e">
        <f t="shared" si="7"/>
        <v>#REF!</v>
      </c>
      <c r="K28" s="205" t="e">
        <f t="shared" si="7"/>
        <v>#REF!</v>
      </c>
      <c r="L28" s="205" t="e">
        <f t="shared" si="7"/>
        <v>#REF!</v>
      </c>
      <c r="M28" s="205" t="e">
        <f t="shared" si="7"/>
        <v>#REF!</v>
      </c>
      <c r="N28" s="205" t="e">
        <f t="shared" si="7"/>
        <v>#REF!</v>
      </c>
      <c r="O28" s="205" t="e">
        <f t="shared" si="7"/>
        <v>#REF!</v>
      </c>
      <c r="T28" s="163"/>
      <c r="V28" t="s">
        <v>51</v>
      </c>
      <c r="W28" s="163" t="e">
        <f>SUM(W26:W27)</f>
        <v>#REF!</v>
      </c>
    </row>
    <row r="29" spans="1:23" ht="15.75" customHeight="1" x14ac:dyDescent="0.25">
      <c r="A29" s="174" t="s">
        <v>139</v>
      </c>
      <c r="B29" s="174"/>
      <c r="C29" s="174"/>
      <c r="D29" s="175"/>
      <c r="E29" s="175"/>
      <c r="F29" s="176" t="e">
        <f>SUM(F25:F28)</f>
        <v>#REF!</v>
      </c>
      <c r="G29" s="176" t="e">
        <f t="shared" ref="G29:O29" si="8">SUM(G25:G28)</f>
        <v>#REF!</v>
      </c>
      <c r="H29" s="176" t="e">
        <f t="shared" si="8"/>
        <v>#REF!</v>
      </c>
      <c r="I29" s="176" t="e">
        <f t="shared" si="8"/>
        <v>#REF!</v>
      </c>
      <c r="J29" s="176" t="e">
        <f t="shared" si="8"/>
        <v>#REF!</v>
      </c>
      <c r="K29" s="176" t="e">
        <f t="shared" si="8"/>
        <v>#REF!</v>
      </c>
      <c r="L29" s="176" t="e">
        <f t="shared" si="8"/>
        <v>#REF!</v>
      </c>
      <c r="M29" s="176" t="e">
        <f t="shared" si="8"/>
        <v>#REF!</v>
      </c>
      <c r="N29" s="176" t="e">
        <f t="shared" si="8"/>
        <v>#REF!</v>
      </c>
      <c r="O29" s="176" t="e">
        <f t="shared" si="8"/>
        <v>#REF!</v>
      </c>
    </row>
    <row r="30" spans="1:23" ht="15.75" customHeight="1" x14ac:dyDescent="0.25"/>
    <row r="32" spans="1:23" x14ac:dyDescent="0.25">
      <c r="A32" s="170" t="str">
        <f>+A25</f>
        <v>Bfwd</v>
      </c>
      <c r="B32" s="170"/>
      <c r="C32" s="170"/>
      <c r="D32" s="171"/>
      <c r="E32" s="171"/>
      <c r="F32" s="172" t="e">
        <f>+F25</f>
        <v>#REF!</v>
      </c>
      <c r="G32" s="172" t="e">
        <f>+F36</f>
        <v>#REF!</v>
      </c>
      <c r="H32" s="172" t="e">
        <f t="shared" ref="H32:O32" si="9">+G36</f>
        <v>#REF!</v>
      </c>
      <c r="I32" s="172" t="e">
        <f t="shared" si="9"/>
        <v>#REF!</v>
      </c>
      <c r="J32" s="172" t="e">
        <f t="shared" si="9"/>
        <v>#REF!</v>
      </c>
      <c r="K32" s="172" t="e">
        <f t="shared" si="9"/>
        <v>#REF!</v>
      </c>
      <c r="L32" s="172" t="e">
        <f t="shared" si="9"/>
        <v>#REF!</v>
      </c>
      <c r="M32" s="172" t="e">
        <f t="shared" si="9"/>
        <v>#REF!</v>
      </c>
      <c r="N32" s="172" t="e">
        <f t="shared" si="9"/>
        <v>#REF!</v>
      </c>
      <c r="O32" s="172" t="e">
        <f t="shared" si="9"/>
        <v>#REF!</v>
      </c>
    </row>
    <row r="33" spans="1:23" ht="15.75" customHeight="1" x14ac:dyDescent="0.25">
      <c r="A33" s="181" t="s">
        <v>137</v>
      </c>
      <c r="B33" s="181"/>
      <c r="C33" s="181"/>
      <c r="D33" s="182"/>
      <c r="E33" s="182"/>
      <c r="F33" s="183">
        <f>+F26</f>
        <v>-8000</v>
      </c>
      <c r="G33" s="183">
        <f t="shared" ref="G33:O33" si="10">+G26</f>
        <v>-142000</v>
      </c>
      <c r="H33" s="183">
        <f t="shared" si="10"/>
        <v>-151000</v>
      </c>
      <c r="I33" s="183">
        <f t="shared" si="10"/>
        <v>-193000</v>
      </c>
      <c r="J33" s="183">
        <f t="shared" si="10"/>
        <v>-335000</v>
      </c>
      <c r="K33" s="183">
        <f t="shared" si="10"/>
        <v>-102000</v>
      </c>
      <c r="L33" s="183">
        <f t="shared" si="10"/>
        <v>-191000</v>
      </c>
      <c r="M33" s="183">
        <f t="shared" si="10"/>
        <v>-53000</v>
      </c>
      <c r="N33" s="183">
        <f t="shared" si="10"/>
        <v>-28000</v>
      </c>
      <c r="O33" s="183">
        <f t="shared" si="10"/>
        <v>-205000</v>
      </c>
    </row>
    <row r="34" spans="1:23" x14ac:dyDescent="0.25">
      <c r="A34" s="170" t="s">
        <v>23</v>
      </c>
      <c r="B34" s="170" t="str">
        <f>+B27</f>
        <v>A &gt; % SLIP</v>
      </c>
      <c r="C34" s="173">
        <f>+C27</f>
        <v>0.75</v>
      </c>
      <c r="D34" s="170" t="s">
        <v>52</v>
      </c>
      <c r="E34" s="171"/>
      <c r="F34" s="172"/>
      <c r="G34" s="172">
        <f>+F27</f>
        <v>6000</v>
      </c>
      <c r="H34" s="172">
        <f t="shared" ref="H34:O34" si="11">+G27</f>
        <v>106500</v>
      </c>
      <c r="I34" s="172">
        <f t="shared" si="11"/>
        <v>113250</v>
      </c>
      <c r="J34" s="172">
        <f t="shared" si="11"/>
        <v>144750</v>
      </c>
      <c r="K34" s="172">
        <f t="shared" si="11"/>
        <v>251250</v>
      </c>
      <c r="L34" s="172">
        <f t="shared" si="11"/>
        <v>76500</v>
      </c>
      <c r="M34" s="172">
        <f t="shared" si="11"/>
        <v>143250</v>
      </c>
      <c r="N34" s="172">
        <f t="shared" si="11"/>
        <v>39750</v>
      </c>
      <c r="O34" s="172">
        <f t="shared" si="11"/>
        <v>21000</v>
      </c>
      <c r="T34" s="163">
        <f>SUM(G34:S34)</f>
        <v>902250</v>
      </c>
      <c r="U34" s="163">
        <f>+U27-O27</f>
        <v>902250</v>
      </c>
    </row>
    <row r="35" spans="1:23" ht="15.75" customHeight="1" x14ac:dyDescent="0.25">
      <c r="A35" s="203" t="s">
        <v>138</v>
      </c>
      <c r="B35" s="203"/>
      <c r="C35" s="203"/>
      <c r="D35" s="204"/>
      <c r="E35" s="205"/>
      <c r="F35" s="205" t="e">
        <f>+F28</f>
        <v>#REF!</v>
      </c>
      <c r="G35" s="205" t="e">
        <f t="shared" ref="G35:O35" si="12">+G28</f>
        <v>#REF!</v>
      </c>
      <c r="H35" s="205" t="e">
        <f t="shared" si="12"/>
        <v>#REF!</v>
      </c>
      <c r="I35" s="205" t="e">
        <f t="shared" si="12"/>
        <v>#REF!</v>
      </c>
      <c r="J35" s="205" t="e">
        <f t="shared" si="12"/>
        <v>#REF!</v>
      </c>
      <c r="K35" s="205" t="e">
        <f t="shared" si="12"/>
        <v>#REF!</v>
      </c>
      <c r="L35" s="205" t="e">
        <f t="shared" si="12"/>
        <v>#REF!</v>
      </c>
      <c r="M35" s="205" t="e">
        <f t="shared" si="12"/>
        <v>#REF!</v>
      </c>
      <c r="N35" s="205" t="e">
        <f t="shared" si="12"/>
        <v>#REF!</v>
      </c>
      <c r="O35" s="205" t="e">
        <f t="shared" si="12"/>
        <v>#REF!</v>
      </c>
      <c r="T35" s="163"/>
      <c r="W35" s="163"/>
    </row>
    <row r="36" spans="1:23" x14ac:dyDescent="0.25">
      <c r="A36" s="170" t="str">
        <f>+A29</f>
        <v>Cfwd</v>
      </c>
      <c r="B36" s="170"/>
      <c r="C36" s="170"/>
      <c r="D36" s="171"/>
      <c r="E36" s="171"/>
      <c r="F36" s="172" t="e">
        <f>SUM(F32:F35)</f>
        <v>#REF!</v>
      </c>
      <c r="G36" s="172" t="e">
        <f t="shared" ref="G36:O36" si="13">SUM(G32:G35)</f>
        <v>#REF!</v>
      </c>
      <c r="H36" s="172" t="e">
        <f t="shared" si="13"/>
        <v>#REF!</v>
      </c>
      <c r="I36" s="172" t="e">
        <f t="shared" si="13"/>
        <v>#REF!</v>
      </c>
      <c r="J36" s="172" t="e">
        <f t="shared" si="13"/>
        <v>#REF!</v>
      </c>
      <c r="K36" s="172" t="e">
        <f t="shared" si="13"/>
        <v>#REF!</v>
      </c>
      <c r="L36" s="172" t="e">
        <f t="shared" si="13"/>
        <v>#REF!</v>
      </c>
      <c r="M36" s="172" t="e">
        <f t="shared" si="13"/>
        <v>#REF!</v>
      </c>
      <c r="N36" s="172" t="e">
        <f t="shared" si="13"/>
        <v>#REF!</v>
      </c>
      <c r="O36" s="172" t="e">
        <f t="shared" si="13"/>
        <v>#REF!</v>
      </c>
    </row>
  </sheetData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1"/>
  <sheetViews>
    <sheetView workbookViewId="0">
      <selection activeCell="G8" sqref="G8:P8"/>
    </sheetView>
  </sheetViews>
  <sheetFormatPr defaultRowHeight="15" x14ac:dyDescent="0.25"/>
  <sheetData>
    <row r="1" spans="1:2" x14ac:dyDescent="0.25">
      <c r="A1" s="3" t="s">
        <v>140</v>
      </c>
      <c r="B1" s="3" t="s">
        <v>141</v>
      </c>
    </row>
    <row r="2" spans="1:2" x14ac:dyDescent="0.25">
      <c r="A2" s="3">
        <v>0</v>
      </c>
      <c r="B2" s="144">
        <v>0.05</v>
      </c>
    </row>
    <row r="3" spans="1:2" x14ac:dyDescent="0.25">
      <c r="A3" s="3">
        <v>1</v>
      </c>
      <c r="B3" s="144">
        <v>0.1</v>
      </c>
    </row>
    <row r="4" spans="1:2" x14ac:dyDescent="0.25">
      <c r="A4" s="3">
        <v>2</v>
      </c>
      <c r="B4" s="144">
        <v>0.15</v>
      </c>
    </row>
    <row r="5" spans="1:2" x14ac:dyDescent="0.25">
      <c r="A5" s="3">
        <v>3</v>
      </c>
      <c r="B5" s="144">
        <v>0.2</v>
      </c>
    </row>
    <row r="6" spans="1:2" x14ac:dyDescent="0.25">
      <c r="A6" s="3">
        <v>4</v>
      </c>
      <c r="B6" s="144">
        <v>0.25</v>
      </c>
    </row>
    <row r="7" spans="1:2" x14ac:dyDescent="0.25">
      <c r="A7" s="3">
        <v>5</v>
      </c>
      <c r="B7" s="144">
        <v>0.3</v>
      </c>
    </row>
    <row r="8" spans="1:2" x14ac:dyDescent="0.25">
      <c r="A8" s="3">
        <v>6</v>
      </c>
      <c r="B8" s="144">
        <v>0.35</v>
      </c>
    </row>
    <row r="9" spans="1:2" x14ac:dyDescent="0.25">
      <c r="A9" s="3">
        <v>7</v>
      </c>
      <c r="B9" s="144">
        <v>0.4</v>
      </c>
    </row>
    <row r="10" spans="1:2" x14ac:dyDescent="0.25">
      <c r="A10" s="3">
        <v>8</v>
      </c>
      <c r="B10" s="144">
        <v>0.45</v>
      </c>
    </row>
    <row r="11" spans="1:2" x14ac:dyDescent="0.25">
      <c r="A11" s="3">
        <v>9</v>
      </c>
      <c r="B11" s="144">
        <v>0.5</v>
      </c>
    </row>
    <row r="12" spans="1:2" x14ac:dyDescent="0.25">
      <c r="A12" s="3">
        <v>10</v>
      </c>
      <c r="B12" s="144">
        <v>0.55000000000000004</v>
      </c>
    </row>
    <row r="13" spans="1:2" x14ac:dyDescent="0.25">
      <c r="A13" s="3">
        <v>11</v>
      </c>
      <c r="B13" s="144">
        <v>0.6</v>
      </c>
    </row>
    <row r="14" spans="1:2" x14ac:dyDescent="0.25">
      <c r="A14" s="3">
        <v>12</v>
      </c>
      <c r="B14" s="144">
        <v>0.65</v>
      </c>
    </row>
    <row r="15" spans="1:2" x14ac:dyDescent="0.25">
      <c r="B15" s="144">
        <v>0.7</v>
      </c>
    </row>
    <row r="16" spans="1:2" x14ac:dyDescent="0.25">
      <c r="B16" s="144">
        <v>0.75</v>
      </c>
    </row>
    <row r="17" spans="2:2" x14ac:dyDescent="0.25">
      <c r="B17" s="144">
        <v>0.8</v>
      </c>
    </row>
    <row r="18" spans="2:2" x14ac:dyDescent="0.25">
      <c r="B18" s="144">
        <v>0.85</v>
      </c>
    </row>
    <row r="19" spans="2:2" x14ac:dyDescent="0.25">
      <c r="B19" s="144">
        <v>0.9</v>
      </c>
    </row>
    <row r="20" spans="2:2" x14ac:dyDescent="0.25">
      <c r="B20" s="144">
        <v>0.95</v>
      </c>
    </row>
    <row r="21" spans="2:2" x14ac:dyDescent="0.25">
      <c r="B21" s="144">
        <v>1</v>
      </c>
    </row>
    <row r="22" spans="2:2" x14ac:dyDescent="0.25">
      <c r="B22" s="144">
        <v>1.05</v>
      </c>
    </row>
    <row r="23" spans="2:2" x14ac:dyDescent="0.25">
      <c r="B23" s="144">
        <v>1.1000000000000001</v>
      </c>
    </row>
    <row r="24" spans="2:2" x14ac:dyDescent="0.25">
      <c r="B24" s="144">
        <v>1.1499999999999999</v>
      </c>
    </row>
    <row r="25" spans="2:2" x14ac:dyDescent="0.25">
      <c r="B25" s="144">
        <v>1.2</v>
      </c>
    </row>
    <row r="26" spans="2:2" x14ac:dyDescent="0.25">
      <c r="B26" s="144">
        <v>1.25</v>
      </c>
    </row>
    <row r="27" spans="2:2" x14ac:dyDescent="0.25">
      <c r="B27" s="144">
        <v>1.3</v>
      </c>
    </row>
    <row r="28" spans="2:2" x14ac:dyDescent="0.25">
      <c r="B28" s="144">
        <v>1.35</v>
      </c>
    </row>
    <row r="29" spans="2:2" x14ac:dyDescent="0.25">
      <c r="B29" s="144">
        <v>1.4</v>
      </c>
    </row>
    <row r="30" spans="2:2" x14ac:dyDescent="0.25">
      <c r="B30" s="144">
        <v>1.45</v>
      </c>
    </row>
    <row r="31" spans="2:2" x14ac:dyDescent="0.25">
      <c r="B31" s="144">
        <v>1.5</v>
      </c>
    </row>
    <row r="32" spans="2:2" x14ac:dyDescent="0.25">
      <c r="B32" s="144">
        <v>1.55</v>
      </c>
    </row>
    <row r="33" spans="2:2" x14ac:dyDescent="0.25">
      <c r="B33" s="144">
        <v>1.6</v>
      </c>
    </row>
    <row r="34" spans="2:2" x14ac:dyDescent="0.25">
      <c r="B34" s="144">
        <v>1.65</v>
      </c>
    </row>
    <row r="35" spans="2:2" x14ac:dyDescent="0.25">
      <c r="B35" s="144">
        <v>1.7</v>
      </c>
    </row>
    <row r="36" spans="2:2" x14ac:dyDescent="0.25">
      <c r="B36" s="144">
        <v>1.75</v>
      </c>
    </row>
    <row r="37" spans="2:2" x14ac:dyDescent="0.25">
      <c r="B37" s="144">
        <v>1.8</v>
      </c>
    </row>
    <row r="38" spans="2:2" x14ac:dyDescent="0.25">
      <c r="B38" s="144">
        <v>1.85</v>
      </c>
    </row>
    <row r="39" spans="2:2" x14ac:dyDescent="0.25">
      <c r="B39" s="144">
        <v>1.9</v>
      </c>
    </row>
    <row r="40" spans="2:2" x14ac:dyDescent="0.25">
      <c r="B40" s="144">
        <v>1.95</v>
      </c>
    </row>
    <row r="41" spans="2:2" x14ac:dyDescent="0.25">
      <c r="B41" s="144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1"/>
  </sheetPr>
  <dimension ref="A1:I65"/>
  <sheetViews>
    <sheetView topLeftCell="A31" zoomScale="80" zoomScaleNormal="80" workbookViewId="0">
      <selection activeCell="F46" sqref="F46"/>
    </sheetView>
  </sheetViews>
  <sheetFormatPr defaultColWidth="9.140625" defaultRowHeight="12.75" x14ac:dyDescent="0.2"/>
  <cols>
    <col min="1" max="1" width="44" style="51" customWidth="1"/>
    <col min="2" max="2" width="9.5703125" style="51" customWidth="1"/>
    <col min="3" max="3" width="11.85546875" style="53" customWidth="1"/>
    <col min="4" max="4" width="13.140625" style="53" customWidth="1"/>
    <col min="5" max="6" width="11.85546875" style="53" customWidth="1"/>
    <col min="7" max="7" width="9.42578125" style="54" customWidth="1"/>
    <col min="8" max="8" width="49.7109375" style="51" bestFit="1" customWidth="1"/>
    <col min="9" max="9" width="47.28515625" style="51" bestFit="1" customWidth="1"/>
    <col min="10" max="16384" width="9.140625" style="51"/>
  </cols>
  <sheetData>
    <row r="1" spans="1:9" x14ac:dyDescent="0.2">
      <c r="A1" s="50" t="s">
        <v>142</v>
      </c>
      <c r="C1" s="52" t="s">
        <v>64</v>
      </c>
    </row>
    <row r="2" spans="1:9" x14ac:dyDescent="0.2">
      <c r="A2" s="55" t="s">
        <v>143</v>
      </c>
    </row>
    <row r="3" spans="1:9" x14ac:dyDescent="0.2">
      <c r="A3" s="55"/>
    </row>
    <row r="4" spans="1:9" ht="25.5" x14ac:dyDescent="0.2">
      <c r="A4" s="56" t="s">
        <v>144</v>
      </c>
      <c r="B4" s="57" t="s">
        <v>145</v>
      </c>
      <c r="C4" s="58" t="e">
        <f>'June 18'!C45</f>
        <v>#REF!</v>
      </c>
      <c r="D4" s="58" t="e">
        <f>'June 18'!D45</f>
        <v>#REF!</v>
      </c>
      <c r="E4" s="58" t="e">
        <f>'June 18'!E45</f>
        <v>#REF!</v>
      </c>
      <c r="F4" s="58" t="e">
        <f>'June 18'!F45</f>
        <v>#REF!</v>
      </c>
    </row>
    <row r="6" spans="1:9" ht="15" x14ac:dyDescent="0.25">
      <c r="A6" s="50" t="s">
        <v>146</v>
      </c>
      <c r="B6" s="50"/>
      <c r="C6" s="52" t="s">
        <v>108</v>
      </c>
      <c r="D6" s="4" t="s">
        <v>109</v>
      </c>
      <c r="E6" s="52" t="s">
        <v>147</v>
      </c>
      <c r="F6" s="52" t="s">
        <v>148</v>
      </c>
      <c r="G6" s="59" t="s">
        <v>149</v>
      </c>
      <c r="H6" s="50" t="s">
        <v>150</v>
      </c>
      <c r="I6" s="79" t="s">
        <v>151</v>
      </c>
    </row>
    <row r="7" spans="1:9" x14ac:dyDescent="0.2">
      <c r="C7" s="60"/>
      <c r="D7" s="60"/>
      <c r="E7" s="60"/>
      <c r="F7" s="60"/>
    </row>
    <row r="8" spans="1:9" x14ac:dyDescent="0.2">
      <c r="A8" s="50" t="s">
        <v>56</v>
      </c>
      <c r="B8" s="50"/>
      <c r="C8" s="60"/>
    </row>
    <row r="9" spans="1:9" x14ac:dyDescent="0.2">
      <c r="A9" s="96" t="s">
        <v>152</v>
      </c>
      <c r="B9" s="51" t="s">
        <v>18</v>
      </c>
      <c r="C9" s="126">
        <v>5698.26</v>
      </c>
      <c r="D9" s="126">
        <v>5698.26</v>
      </c>
      <c r="E9" s="126">
        <v>5698.26</v>
      </c>
      <c r="F9" s="126">
        <v>5698.26</v>
      </c>
      <c r="G9" s="54" t="s">
        <v>153</v>
      </c>
      <c r="H9" s="125" t="s">
        <v>154</v>
      </c>
    </row>
    <row r="15" spans="1:9" x14ac:dyDescent="0.2">
      <c r="A15" s="49"/>
      <c r="B15" s="125"/>
      <c r="C15" s="126"/>
      <c r="D15" s="128"/>
      <c r="E15" s="126"/>
      <c r="F15" s="126"/>
      <c r="G15" s="127"/>
      <c r="H15" s="125"/>
    </row>
    <row r="16" spans="1:9" x14ac:dyDescent="0.2">
      <c r="A16" s="50" t="s">
        <v>57</v>
      </c>
      <c r="C16" s="60"/>
      <c r="D16" s="60"/>
      <c r="E16" s="60"/>
      <c r="F16" s="60"/>
    </row>
    <row r="17" spans="1:8" x14ac:dyDescent="0.2">
      <c r="A17" s="95" t="s">
        <v>155</v>
      </c>
      <c r="B17" s="51" t="s">
        <v>156</v>
      </c>
      <c r="C17" s="53">
        <v>150000</v>
      </c>
      <c r="D17" s="53">
        <f t="shared" ref="D17:F18" si="0">C17</f>
        <v>150000</v>
      </c>
      <c r="E17" s="53">
        <f t="shared" si="0"/>
        <v>150000</v>
      </c>
      <c r="F17" s="53">
        <f t="shared" si="0"/>
        <v>150000</v>
      </c>
    </row>
    <row r="18" spans="1:8" x14ac:dyDescent="0.2">
      <c r="A18" s="95" t="s">
        <v>155</v>
      </c>
      <c r="B18" s="51" t="s">
        <v>156</v>
      </c>
      <c r="C18" s="53">
        <v>150000</v>
      </c>
      <c r="D18" s="53">
        <f t="shared" si="0"/>
        <v>150000</v>
      </c>
      <c r="E18" s="53">
        <f t="shared" si="0"/>
        <v>150000</v>
      </c>
      <c r="F18" s="53">
        <f t="shared" si="0"/>
        <v>150000</v>
      </c>
      <c r="G18" s="51"/>
    </row>
    <row r="19" spans="1:8" x14ac:dyDescent="0.2">
      <c r="A19" s="95" t="s">
        <v>155</v>
      </c>
      <c r="B19" s="51" t="s">
        <v>156</v>
      </c>
      <c r="C19" s="53">
        <v>75000</v>
      </c>
      <c r="D19" s="53">
        <f>C19</f>
        <v>75000</v>
      </c>
      <c r="E19" s="53">
        <f>D19</f>
        <v>75000</v>
      </c>
      <c r="F19" s="53">
        <v>75000</v>
      </c>
      <c r="G19" s="51"/>
    </row>
    <row r="20" spans="1:8" x14ac:dyDescent="0.2">
      <c r="C20" s="60"/>
      <c r="D20" s="60"/>
      <c r="E20" s="60"/>
      <c r="F20" s="60"/>
    </row>
    <row r="21" spans="1:8" x14ac:dyDescent="0.2">
      <c r="A21" s="50" t="s">
        <v>58</v>
      </c>
      <c r="B21" s="50"/>
      <c r="C21" s="60"/>
    </row>
    <row r="23" spans="1:8" x14ac:dyDescent="0.2">
      <c r="C23" s="60"/>
    </row>
    <row r="24" spans="1:8" x14ac:dyDescent="0.2">
      <c r="C24" s="60"/>
      <c r="D24" s="60"/>
      <c r="E24" s="60"/>
      <c r="F24" s="60"/>
    </row>
    <row r="25" spans="1:8" x14ac:dyDescent="0.2">
      <c r="A25" s="50" t="s">
        <v>157</v>
      </c>
      <c r="B25" s="50"/>
      <c r="C25" s="60"/>
      <c r="D25" s="60"/>
      <c r="E25" s="60"/>
      <c r="F25" s="60"/>
    </row>
    <row r="27" spans="1:8" x14ac:dyDescent="0.2">
      <c r="A27" s="96" t="s">
        <v>158</v>
      </c>
      <c r="B27" s="51" t="s">
        <v>17</v>
      </c>
      <c r="C27" s="60">
        <v>34262</v>
      </c>
      <c r="D27" s="60">
        <v>34262</v>
      </c>
      <c r="E27" s="60">
        <f>D27</f>
        <v>34262</v>
      </c>
      <c r="F27" s="60">
        <f>E27</f>
        <v>34262</v>
      </c>
      <c r="G27" s="54" t="s">
        <v>159</v>
      </c>
      <c r="H27" s="51" t="s">
        <v>160</v>
      </c>
    </row>
    <row r="30" spans="1:8" x14ac:dyDescent="0.2">
      <c r="A30" s="49"/>
      <c r="C30" s="60"/>
      <c r="D30" s="60"/>
      <c r="E30" s="60"/>
      <c r="F30" s="60"/>
    </row>
    <row r="31" spans="1:8" x14ac:dyDescent="0.2">
      <c r="A31" s="50" t="s">
        <v>133</v>
      </c>
      <c r="B31" s="49"/>
      <c r="C31" s="60"/>
      <c r="D31" s="60"/>
      <c r="E31" s="60"/>
      <c r="F31" s="60"/>
    </row>
    <row r="32" spans="1:8" x14ac:dyDescent="0.2">
      <c r="A32" s="95" t="s">
        <v>161</v>
      </c>
      <c r="B32" s="49"/>
      <c r="C32" s="60">
        <f>77.18+4.82</f>
        <v>82</v>
      </c>
      <c r="D32" s="126">
        <f t="shared" ref="D32:F38" si="1">C32</f>
        <v>82</v>
      </c>
      <c r="E32" s="126">
        <f t="shared" si="1"/>
        <v>82</v>
      </c>
      <c r="F32" s="126">
        <f t="shared" si="1"/>
        <v>82</v>
      </c>
    </row>
    <row r="33" spans="1:9" x14ac:dyDescent="0.2">
      <c r="A33" s="95" t="s">
        <v>162</v>
      </c>
      <c r="B33" s="49"/>
      <c r="C33" s="60">
        <v>300.70999999999998</v>
      </c>
      <c r="D33" s="126">
        <f t="shared" si="1"/>
        <v>300.70999999999998</v>
      </c>
      <c r="E33" s="126">
        <f t="shared" si="1"/>
        <v>300.70999999999998</v>
      </c>
      <c r="F33" s="126">
        <f t="shared" si="1"/>
        <v>300.70999999999998</v>
      </c>
    </row>
    <row r="34" spans="1:9" x14ac:dyDescent="0.2">
      <c r="A34" s="95" t="s">
        <v>163</v>
      </c>
      <c r="B34" s="49"/>
      <c r="C34" s="60">
        <v>132.96</v>
      </c>
      <c r="D34" s="126">
        <f t="shared" si="1"/>
        <v>132.96</v>
      </c>
      <c r="E34" s="126">
        <f t="shared" si="1"/>
        <v>132.96</v>
      </c>
      <c r="F34" s="126">
        <f t="shared" si="1"/>
        <v>132.96</v>
      </c>
    </row>
    <row r="35" spans="1:9" x14ac:dyDescent="0.2">
      <c r="A35" s="95" t="s">
        <v>164</v>
      </c>
      <c r="B35" s="49"/>
      <c r="C35" s="60">
        <v>175.2</v>
      </c>
      <c r="D35" s="126">
        <f t="shared" si="1"/>
        <v>175.2</v>
      </c>
      <c r="E35" s="126">
        <f t="shared" si="1"/>
        <v>175.2</v>
      </c>
      <c r="F35" s="126">
        <f t="shared" si="1"/>
        <v>175.2</v>
      </c>
    </row>
    <row r="36" spans="1:9" x14ac:dyDescent="0.2">
      <c r="A36" s="95" t="s">
        <v>165</v>
      </c>
      <c r="B36" s="49"/>
      <c r="C36" s="60">
        <v>529.20000000000005</v>
      </c>
      <c r="D36" s="126">
        <f t="shared" si="1"/>
        <v>529.20000000000005</v>
      </c>
      <c r="E36" s="126">
        <f t="shared" si="1"/>
        <v>529.20000000000005</v>
      </c>
      <c r="F36" s="126">
        <f t="shared" si="1"/>
        <v>529.20000000000005</v>
      </c>
    </row>
    <row r="37" spans="1:9" x14ac:dyDescent="0.2">
      <c r="A37" s="95" t="s">
        <v>166</v>
      </c>
      <c r="B37" s="49"/>
      <c r="C37" s="126">
        <v>179.17</v>
      </c>
      <c r="D37" s="126">
        <f t="shared" si="1"/>
        <v>179.17</v>
      </c>
      <c r="E37" s="126">
        <f t="shared" si="1"/>
        <v>179.17</v>
      </c>
      <c r="F37" s="126">
        <f t="shared" si="1"/>
        <v>179.17</v>
      </c>
    </row>
    <row r="38" spans="1:9" x14ac:dyDescent="0.2">
      <c r="A38" s="48" t="s">
        <v>167</v>
      </c>
      <c r="B38" s="49"/>
      <c r="C38" s="60">
        <v>52.2</v>
      </c>
      <c r="D38" s="126">
        <f t="shared" si="1"/>
        <v>52.2</v>
      </c>
      <c r="E38" s="126">
        <f t="shared" si="1"/>
        <v>52.2</v>
      </c>
      <c r="F38" s="126">
        <f t="shared" si="1"/>
        <v>52.2</v>
      </c>
    </row>
    <row r="39" spans="1:9" x14ac:dyDescent="0.2">
      <c r="C39" s="60"/>
      <c r="E39" s="60"/>
      <c r="F39" s="60"/>
    </row>
    <row r="40" spans="1:9" x14ac:dyDescent="0.2">
      <c r="A40" s="50" t="s">
        <v>168</v>
      </c>
      <c r="B40" s="50"/>
      <c r="C40" s="61">
        <f>SUM(C7:C39)</f>
        <v>416411.70000000007</v>
      </c>
      <c r="D40" s="61">
        <f>SUM(D7:D39)</f>
        <v>416411.70000000007</v>
      </c>
      <c r="E40" s="129">
        <f>SUM(E7:E39)</f>
        <v>416411.70000000007</v>
      </c>
      <c r="F40" s="129">
        <f>SUM(F7:F39)</f>
        <v>416411.70000000007</v>
      </c>
    </row>
    <row r="41" spans="1:9" x14ac:dyDescent="0.2">
      <c r="C41" s="60"/>
      <c r="D41" s="60">
        <f>C40-D40</f>
        <v>0</v>
      </c>
      <c r="E41" s="60"/>
      <c r="F41" s="60"/>
    </row>
    <row r="42" spans="1:9" x14ac:dyDescent="0.2">
      <c r="A42" s="62"/>
      <c r="B42" s="62"/>
      <c r="C42" s="63"/>
      <c r="D42" s="63"/>
      <c r="E42" s="64"/>
      <c r="F42" s="64"/>
      <c r="G42" s="65"/>
      <c r="H42" s="62"/>
    </row>
    <row r="43" spans="1:9" x14ac:dyDescent="0.2">
      <c r="A43" s="50" t="s">
        <v>169</v>
      </c>
      <c r="B43" s="50"/>
      <c r="C43" s="60"/>
      <c r="D43" s="60"/>
      <c r="E43" s="61"/>
      <c r="F43" s="61"/>
    </row>
    <row r="44" spans="1:9" x14ac:dyDescent="0.2">
      <c r="A44" s="51" t="s">
        <v>170</v>
      </c>
      <c r="C44" s="60" t="e">
        <f>'Cash flow proforma 20-21'!#REF!</f>
        <v>#REF!</v>
      </c>
      <c r="D44" s="60" t="e">
        <f t="shared" ref="D44:F49" si="2">C44</f>
        <v>#REF!</v>
      </c>
      <c r="E44" s="60" t="e">
        <f t="shared" si="2"/>
        <v>#REF!</v>
      </c>
      <c r="F44" s="60" t="e">
        <f t="shared" si="2"/>
        <v>#REF!</v>
      </c>
      <c r="H44" s="51" t="s">
        <v>171</v>
      </c>
      <c r="I44" s="124" t="s">
        <v>172</v>
      </c>
    </row>
    <row r="45" spans="1:9" x14ac:dyDescent="0.2">
      <c r="A45" s="51" t="s">
        <v>173</v>
      </c>
      <c r="C45" s="60" t="e">
        <f>'Cash flow proforma 20-21'!#REF!</f>
        <v>#REF!</v>
      </c>
      <c r="D45" s="60" t="e">
        <f t="shared" si="2"/>
        <v>#REF!</v>
      </c>
      <c r="E45" s="60" t="e">
        <f t="shared" si="2"/>
        <v>#REF!</v>
      </c>
      <c r="F45" s="60" t="e">
        <f t="shared" si="2"/>
        <v>#REF!</v>
      </c>
      <c r="H45" s="51" t="s">
        <v>174</v>
      </c>
    </row>
    <row r="46" spans="1:9" x14ac:dyDescent="0.2">
      <c r="A46" s="51" t="s">
        <v>175</v>
      </c>
      <c r="C46" s="60" t="e">
        <f>'Cash flow proforma 20-21'!#REF!</f>
        <v>#REF!</v>
      </c>
      <c r="D46" s="60" t="e">
        <f t="shared" si="2"/>
        <v>#REF!</v>
      </c>
      <c r="E46" s="60" t="e">
        <f t="shared" si="2"/>
        <v>#REF!</v>
      </c>
      <c r="F46" s="60" t="e">
        <f t="shared" si="2"/>
        <v>#REF!</v>
      </c>
      <c r="H46" s="51" t="s">
        <v>176</v>
      </c>
    </row>
    <row r="47" spans="1:9" x14ac:dyDescent="0.2">
      <c r="A47" s="51" t="s">
        <v>177</v>
      </c>
      <c r="C47" s="60" t="e">
        <f>'Cash flow proforma 20-21'!#REF!</f>
        <v>#REF!</v>
      </c>
      <c r="D47" s="60" t="e">
        <f t="shared" si="2"/>
        <v>#REF!</v>
      </c>
      <c r="E47" s="60" t="e">
        <f t="shared" si="2"/>
        <v>#REF!</v>
      </c>
      <c r="F47" s="60" t="e">
        <f t="shared" si="2"/>
        <v>#REF!</v>
      </c>
      <c r="H47" s="51" t="s">
        <v>178</v>
      </c>
    </row>
    <row r="48" spans="1:9" x14ac:dyDescent="0.2">
      <c r="A48" s="51" t="s">
        <v>179</v>
      </c>
      <c r="C48" s="60" t="e">
        <f>'Cash flow proforma 20-21'!#REF!</f>
        <v>#REF!</v>
      </c>
      <c r="D48" s="60" t="e">
        <f>C48</f>
        <v>#REF!</v>
      </c>
      <c r="E48" s="60" t="e">
        <f t="shared" si="2"/>
        <v>#REF!</v>
      </c>
      <c r="F48" s="60" t="e">
        <f t="shared" si="2"/>
        <v>#REF!</v>
      </c>
      <c r="H48" s="51" t="s">
        <v>180</v>
      </c>
    </row>
    <row r="49" spans="1:9" x14ac:dyDescent="0.2">
      <c r="A49" s="137" t="s">
        <v>181</v>
      </c>
      <c r="B49" s="137"/>
      <c r="C49" s="138">
        <v>2318.5100000000002</v>
      </c>
      <c r="D49" s="138">
        <f>C49</f>
        <v>2318.5100000000002</v>
      </c>
      <c r="E49" s="138">
        <f t="shared" si="2"/>
        <v>2318.5100000000002</v>
      </c>
      <c r="F49" s="138">
        <f t="shared" si="2"/>
        <v>2318.5100000000002</v>
      </c>
      <c r="H49" s="51" t="s">
        <v>182</v>
      </c>
    </row>
    <row r="50" spans="1:9" x14ac:dyDescent="0.2">
      <c r="A50" s="50" t="s">
        <v>183</v>
      </c>
      <c r="B50" s="50"/>
      <c r="C50" s="61" t="e">
        <f>SUM(C44:C49)</f>
        <v>#REF!</v>
      </c>
      <c r="D50" s="61" t="e">
        <f>SUM(D44:D49)</f>
        <v>#REF!</v>
      </c>
      <c r="E50" s="61" t="e">
        <f>SUM(E44:E49)</f>
        <v>#REF!</v>
      </c>
      <c r="F50" s="61" t="e">
        <f>SUM(F44:F49)</f>
        <v>#REF!</v>
      </c>
    </row>
    <row r="51" spans="1:9" x14ac:dyDescent="0.2">
      <c r="A51" s="50"/>
      <c r="B51" s="50"/>
      <c r="C51" s="61"/>
      <c r="D51" s="61"/>
      <c r="E51" s="61"/>
      <c r="F51" s="61"/>
    </row>
    <row r="52" spans="1:9" x14ac:dyDescent="0.2">
      <c r="A52" s="66" t="s">
        <v>184</v>
      </c>
      <c r="B52" s="66"/>
      <c r="C52" s="67" t="e">
        <f>C40+C50</f>
        <v>#REF!</v>
      </c>
      <c r="D52" s="67" t="e">
        <f>D40+D50</f>
        <v>#REF!</v>
      </c>
      <c r="E52" s="67" t="e">
        <f>E40+E50</f>
        <v>#REF!</v>
      </c>
      <c r="F52" s="67" t="e">
        <f>F40+F50</f>
        <v>#REF!</v>
      </c>
    </row>
    <row r="54" spans="1:9" x14ac:dyDescent="0.2">
      <c r="A54" s="68" t="s">
        <v>185</v>
      </c>
      <c r="B54" s="68"/>
      <c r="C54" s="69" t="e">
        <f>C4+C40+C50</f>
        <v>#REF!</v>
      </c>
      <c r="D54" s="69" t="e">
        <f>D4+D40+D50</f>
        <v>#REF!</v>
      </c>
      <c r="E54" s="69" t="e">
        <f>E4+E40+E50</f>
        <v>#REF!</v>
      </c>
      <c r="F54" s="69" t="e">
        <f>F4+F40+F50</f>
        <v>#REF!</v>
      </c>
      <c r="I54" s="70"/>
    </row>
    <row r="55" spans="1:9" x14ac:dyDescent="0.2">
      <c r="F55" s="53">
        <v>77690.850000000006</v>
      </c>
      <c r="G55" s="136" t="e">
        <f>F55-F54</f>
        <v>#REF!</v>
      </c>
    </row>
    <row r="56" spans="1:9" s="53" customFormat="1" ht="13.5" thickBot="1" x14ac:dyDescent="0.25">
      <c r="A56" s="51"/>
      <c r="B56" s="51"/>
      <c r="G56" s="54"/>
      <c r="H56" s="51"/>
      <c r="I56" s="51"/>
    </row>
    <row r="57" spans="1:9" s="53" customFormat="1" ht="13.5" thickBot="1" x14ac:dyDescent="0.25">
      <c r="A57" s="71" t="s">
        <v>186</v>
      </c>
      <c r="B57" s="71"/>
      <c r="C57" s="71"/>
      <c r="F57" s="105"/>
      <c r="G57" s="54"/>
      <c r="H57" s="51"/>
      <c r="I57" s="51"/>
    </row>
    <row r="58" spans="1:9" s="53" customFormat="1" x14ac:dyDescent="0.2">
      <c r="A58" s="51" t="s">
        <v>187</v>
      </c>
      <c r="B58" s="51"/>
      <c r="G58" s="54"/>
      <c r="H58" s="51"/>
      <c r="I58" s="51"/>
    </row>
    <row r="59" spans="1:9" s="53" customFormat="1" x14ac:dyDescent="0.2">
      <c r="A59" s="51" t="s">
        <v>188</v>
      </c>
      <c r="B59" s="51"/>
      <c r="H59" s="51"/>
      <c r="I59" s="51"/>
    </row>
    <row r="60" spans="1:9" s="53" customFormat="1" x14ac:dyDescent="0.2">
      <c r="A60" s="51" t="s">
        <v>189</v>
      </c>
      <c r="B60" s="51"/>
      <c r="G60" s="54"/>
      <c r="H60" s="51"/>
      <c r="I60" s="51"/>
    </row>
    <row r="61" spans="1:9" s="53" customFormat="1" x14ac:dyDescent="0.2">
      <c r="A61" s="51" t="s">
        <v>190</v>
      </c>
      <c r="B61" s="51"/>
      <c r="G61" s="54"/>
      <c r="H61" s="51"/>
      <c r="I61" s="51"/>
    </row>
    <row r="62" spans="1:9" s="53" customFormat="1" x14ac:dyDescent="0.2">
      <c r="A62" s="72" t="s">
        <v>191</v>
      </c>
      <c r="B62" s="51"/>
      <c r="G62" s="54"/>
      <c r="H62" s="51"/>
      <c r="I62" s="51"/>
    </row>
    <row r="63" spans="1:9" s="53" customFormat="1" x14ac:dyDescent="0.2">
      <c r="A63" s="73" t="s">
        <v>192</v>
      </c>
      <c r="B63" s="51"/>
      <c r="G63" s="54"/>
      <c r="H63" s="51"/>
      <c r="I63" s="51"/>
    </row>
    <row r="64" spans="1:9" s="53" customFormat="1" x14ac:dyDescent="0.2">
      <c r="A64" s="74" t="s">
        <v>193</v>
      </c>
      <c r="B64" s="51"/>
      <c r="G64" s="54"/>
      <c r="H64" s="51"/>
      <c r="I64" s="51"/>
    </row>
    <row r="65" spans="1:9" s="53" customFormat="1" x14ac:dyDescent="0.2">
      <c r="A65" s="51"/>
      <c r="B65" s="50"/>
      <c r="C65" s="50"/>
      <c r="G65" s="54"/>
      <c r="H65" s="51"/>
      <c r="I65" s="5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tabColor theme="1" tint="4.9989318521683403E-2"/>
  </sheetPr>
  <dimension ref="A1:I56"/>
  <sheetViews>
    <sheetView topLeftCell="A22" zoomScale="80" zoomScaleNormal="80" workbookViewId="0">
      <selection activeCell="F46" sqref="F46"/>
    </sheetView>
  </sheetViews>
  <sheetFormatPr defaultColWidth="9.140625" defaultRowHeight="12.75" x14ac:dyDescent="0.2"/>
  <cols>
    <col min="1" max="1" width="44" style="51" customWidth="1"/>
    <col min="2" max="2" width="9.5703125" style="51" customWidth="1"/>
    <col min="3" max="3" width="11.85546875" style="53" customWidth="1"/>
    <col min="4" max="4" width="13.140625" style="53" customWidth="1"/>
    <col min="5" max="6" width="11.85546875" style="53" customWidth="1"/>
    <col min="7" max="7" width="9.140625" style="54"/>
    <col min="8" max="8" width="49.7109375" style="51" bestFit="1" customWidth="1"/>
    <col min="9" max="9" width="47.28515625" style="51" bestFit="1" customWidth="1"/>
    <col min="10" max="16384" width="9.140625" style="51"/>
  </cols>
  <sheetData>
    <row r="1" spans="1:9" x14ac:dyDescent="0.2">
      <c r="A1" s="50" t="s">
        <v>142</v>
      </c>
      <c r="C1" s="52" t="s">
        <v>63</v>
      </c>
    </row>
    <row r="2" spans="1:9" x14ac:dyDescent="0.2">
      <c r="A2" s="55" t="s">
        <v>194</v>
      </c>
    </row>
    <row r="3" spans="1:9" x14ac:dyDescent="0.2">
      <c r="A3" s="55"/>
    </row>
    <row r="4" spans="1:9" ht="25.5" x14ac:dyDescent="0.2">
      <c r="A4" s="56" t="s">
        <v>195</v>
      </c>
      <c r="B4" s="57" t="s">
        <v>145</v>
      </c>
      <c r="C4" s="58" t="e">
        <f>'May 18'!C46</f>
        <v>#REF!</v>
      </c>
      <c r="D4" s="58" t="e">
        <f>'May 18'!D46</f>
        <v>#REF!</v>
      </c>
      <c r="E4" s="58" t="e">
        <f>'May 18'!E46</f>
        <v>#REF!</v>
      </c>
      <c r="F4" s="58" t="e">
        <f>'May 18'!F46</f>
        <v>#REF!</v>
      </c>
    </row>
    <row r="6" spans="1:9" x14ac:dyDescent="0.2">
      <c r="A6" s="50" t="s">
        <v>146</v>
      </c>
      <c r="B6" s="50"/>
      <c r="C6" s="52" t="s">
        <v>108</v>
      </c>
      <c r="D6" s="52" t="s">
        <v>109</v>
      </c>
      <c r="E6" s="52" t="s">
        <v>147</v>
      </c>
      <c r="F6" s="52" t="s">
        <v>148</v>
      </c>
      <c r="G6" s="59" t="s">
        <v>149</v>
      </c>
      <c r="H6" s="50" t="s">
        <v>150</v>
      </c>
      <c r="I6" s="94" t="s">
        <v>151</v>
      </c>
    </row>
    <row r="7" spans="1:9" x14ac:dyDescent="0.2">
      <c r="C7" s="60"/>
      <c r="D7" s="60"/>
      <c r="E7" s="60"/>
      <c r="F7" s="60"/>
    </row>
    <row r="8" spans="1:9" x14ac:dyDescent="0.2">
      <c r="A8" s="50" t="s">
        <v>56</v>
      </c>
      <c r="B8" s="50"/>
      <c r="C8" s="60"/>
    </row>
    <row r="9" spans="1:9" x14ac:dyDescent="0.2">
      <c r="A9" s="131" t="s">
        <v>196</v>
      </c>
      <c r="B9" s="125" t="s">
        <v>17</v>
      </c>
      <c r="C9" s="126">
        <v>56250</v>
      </c>
      <c r="D9" s="128">
        <f t="shared" ref="D9:F10" si="0">C9</f>
        <v>56250</v>
      </c>
      <c r="E9" s="128">
        <f t="shared" si="0"/>
        <v>56250</v>
      </c>
      <c r="F9" s="128">
        <f t="shared" si="0"/>
        <v>56250</v>
      </c>
      <c r="G9" s="127" t="s">
        <v>197</v>
      </c>
      <c r="H9" s="125" t="s">
        <v>198</v>
      </c>
    </row>
    <row r="10" spans="1:9" x14ac:dyDescent="0.2">
      <c r="A10" s="131" t="s">
        <v>199</v>
      </c>
      <c r="B10" s="125" t="s">
        <v>17</v>
      </c>
      <c r="C10" s="126">
        <v>35000</v>
      </c>
      <c r="D10" s="128">
        <f t="shared" si="0"/>
        <v>35000</v>
      </c>
      <c r="E10" s="128">
        <f t="shared" si="0"/>
        <v>35000</v>
      </c>
      <c r="F10" s="128">
        <f t="shared" si="0"/>
        <v>35000</v>
      </c>
      <c r="G10" s="127" t="s">
        <v>197</v>
      </c>
      <c r="H10" s="125" t="s">
        <v>200</v>
      </c>
    </row>
    <row r="11" spans="1:9" x14ac:dyDescent="0.2">
      <c r="A11" s="131" t="s">
        <v>201</v>
      </c>
      <c r="B11" s="51" t="s">
        <v>156</v>
      </c>
      <c r="C11" s="60">
        <v>500</v>
      </c>
      <c r="D11" s="60">
        <v>500</v>
      </c>
      <c r="E11" s="60">
        <v>500</v>
      </c>
      <c r="F11" s="60">
        <v>500</v>
      </c>
      <c r="G11" s="54" t="s">
        <v>153</v>
      </c>
      <c r="H11" s="51" t="s">
        <v>202</v>
      </c>
    </row>
    <row r="13" spans="1:9" x14ac:dyDescent="0.2">
      <c r="A13" s="49"/>
      <c r="C13" s="60"/>
      <c r="D13" s="60"/>
      <c r="E13" s="60"/>
      <c r="F13" s="60"/>
    </row>
    <row r="14" spans="1:9" x14ac:dyDescent="0.2">
      <c r="A14" s="50" t="s">
        <v>57</v>
      </c>
      <c r="C14" s="60"/>
      <c r="D14" s="60"/>
      <c r="E14" s="60"/>
      <c r="F14" s="60"/>
    </row>
    <row r="15" spans="1:9" x14ac:dyDescent="0.2">
      <c r="A15" s="131" t="s">
        <v>203</v>
      </c>
      <c r="B15" s="51" t="s">
        <v>18</v>
      </c>
      <c r="C15" s="60">
        <v>10000</v>
      </c>
      <c r="D15" s="53">
        <f t="shared" ref="D15:F16" si="1">C15</f>
        <v>10000</v>
      </c>
      <c r="E15" s="53">
        <f t="shared" si="1"/>
        <v>10000</v>
      </c>
      <c r="F15" s="53">
        <f t="shared" si="1"/>
        <v>10000</v>
      </c>
      <c r="G15" s="54" t="s">
        <v>204</v>
      </c>
      <c r="H15" s="51" t="s">
        <v>205</v>
      </c>
    </row>
    <row r="16" spans="1:9" x14ac:dyDescent="0.2">
      <c r="A16" s="131" t="s">
        <v>206</v>
      </c>
      <c r="B16" s="49" t="s">
        <v>18</v>
      </c>
      <c r="C16" s="60">
        <v>33750</v>
      </c>
      <c r="D16" s="53">
        <f t="shared" si="1"/>
        <v>33750</v>
      </c>
      <c r="E16" s="53">
        <f t="shared" si="1"/>
        <v>33750</v>
      </c>
      <c r="F16" s="53">
        <f t="shared" si="1"/>
        <v>33750</v>
      </c>
      <c r="G16" s="54" t="s">
        <v>207</v>
      </c>
      <c r="H16" s="51" t="s">
        <v>208</v>
      </c>
    </row>
    <row r="17" spans="1:8" x14ac:dyDescent="0.2">
      <c r="C17" s="60"/>
      <c r="D17" s="60"/>
      <c r="E17" s="60"/>
      <c r="F17" s="60"/>
    </row>
    <row r="18" spans="1:8" x14ac:dyDescent="0.2">
      <c r="A18" s="50" t="s">
        <v>58</v>
      </c>
      <c r="B18" s="50"/>
      <c r="C18" s="60"/>
    </row>
    <row r="20" spans="1:8" x14ac:dyDescent="0.2">
      <c r="C20" s="60"/>
    </row>
    <row r="21" spans="1:8" x14ac:dyDescent="0.2">
      <c r="C21" s="60"/>
    </row>
    <row r="22" spans="1:8" x14ac:dyDescent="0.2">
      <c r="C22" s="60"/>
      <c r="D22" s="60"/>
      <c r="E22" s="60"/>
      <c r="F22" s="60"/>
    </row>
    <row r="23" spans="1:8" x14ac:dyDescent="0.2">
      <c r="A23" s="50" t="s">
        <v>157</v>
      </c>
      <c r="B23" s="50"/>
      <c r="C23" s="60"/>
      <c r="D23" s="60"/>
      <c r="E23" s="60"/>
      <c r="F23" s="60"/>
    </row>
    <row r="24" spans="1:8" x14ac:dyDescent="0.2">
      <c r="A24" s="131" t="s">
        <v>209</v>
      </c>
      <c r="B24" s="51" t="s">
        <v>17</v>
      </c>
      <c r="C24" s="60">
        <v>5150</v>
      </c>
      <c r="D24" s="60">
        <f>C24</f>
        <v>5150</v>
      </c>
      <c r="E24" s="60">
        <f>D24</f>
        <v>5150</v>
      </c>
      <c r="F24" s="60">
        <f>E24</f>
        <v>5150</v>
      </c>
      <c r="G24" s="54" t="s">
        <v>210</v>
      </c>
      <c r="H24" s="51" t="s">
        <v>211</v>
      </c>
    </row>
    <row r="27" spans="1:8" x14ac:dyDescent="0.2">
      <c r="A27" s="49"/>
      <c r="C27" s="60"/>
      <c r="D27" s="60"/>
      <c r="E27" s="60"/>
      <c r="F27" s="60"/>
    </row>
    <row r="28" spans="1:8" x14ac:dyDescent="0.2">
      <c r="A28" s="50" t="s">
        <v>133</v>
      </c>
      <c r="B28" s="49"/>
      <c r="C28" s="60"/>
      <c r="D28" s="60"/>
      <c r="E28" s="60"/>
      <c r="F28" s="60"/>
    </row>
    <row r="29" spans="1:8" x14ac:dyDescent="0.2">
      <c r="A29" s="49" t="s">
        <v>161</v>
      </c>
      <c r="B29" s="49" t="s">
        <v>18</v>
      </c>
      <c r="C29" s="60">
        <v>517.32000000000005</v>
      </c>
      <c r="D29" s="60">
        <f t="shared" ref="D29:F31" si="2">C29</f>
        <v>517.32000000000005</v>
      </c>
      <c r="E29" s="60">
        <f t="shared" si="2"/>
        <v>517.32000000000005</v>
      </c>
      <c r="F29" s="60">
        <f t="shared" si="2"/>
        <v>517.32000000000005</v>
      </c>
    </row>
    <row r="30" spans="1:8" x14ac:dyDescent="0.2">
      <c r="A30" s="49" t="s">
        <v>212</v>
      </c>
      <c r="B30" s="49" t="s">
        <v>18</v>
      </c>
      <c r="C30" s="60">
        <v>423.7</v>
      </c>
      <c r="D30" s="60">
        <f t="shared" si="2"/>
        <v>423.7</v>
      </c>
      <c r="E30" s="60">
        <f t="shared" si="2"/>
        <v>423.7</v>
      </c>
      <c r="F30" s="60">
        <f t="shared" si="2"/>
        <v>423.7</v>
      </c>
    </row>
    <row r="31" spans="1:8" x14ac:dyDescent="0.2">
      <c r="A31" s="51" t="s">
        <v>213</v>
      </c>
      <c r="B31" s="51" t="s">
        <v>18</v>
      </c>
      <c r="C31" s="53">
        <v>57.05</v>
      </c>
      <c r="D31" s="53">
        <f t="shared" si="2"/>
        <v>57.05</v>
      </c>
      <c r="E31" s="53">
        <f t="shared" si="2"/>
        <v>57.05</v>
      </c>
      <c r="F31" s="53">
        <f t="shared" si="2"/>
        <v>57.05</v>
      </c>
    </row>
    <row r="32" spans="1:8" x14ac:dyDescent="0.2">
      <c r="C32" s="60"/>
      <c r="E32" s="60"/>
      <c r="F32" s="60"/>
    </row>
    <row r="33" spans="1:9" x14ac:dyDescent="0.2">
      <c r="A33" s="50" t="s">
        <v>168</v>
      </c>
      <c r="B33" s="50"/>
      <c r="C33" s="61">
        <f>SUM(C7:C32)</f>
        <v>141648.07</v>
      </c>
      <c r="D33" s="61">
        <f>SUM(D7:D32)</f>
        <v>141648.07</v>
      </c>
      <c r="E33" s="61">
        <f>SUM(E7:E32)</f>
        <v>141648.07</v>
      </c>
      <c r="F33" s="61">
        <f>SUM(F7:F32)</f>
        <v>141648.07</v>
      </c>
    </row>
    <row r="34" spans="1:9" x14ac:dyDescent="0.2">
      <c r="C34" s="60"/>
      <c r="D34" s="60"/>
      <c r="E34" s="60"/>
      <c r="F34" s="60"/>
    </row>
    <row r="35" spans="1:9" x14ac:dyDescent="0.2">
      <c r="A35" s="62"/>
      <c r="B35" s="62"/>
      <c r="C35" s="63"/>
      <c r="D35" s="63"/>
      <c r="E35" s="64"/>
      <c r="F35" s="64"/>
      <c r="G35" s="65"/>
      <c r="H35" s="62"/>
    </row>
    <row r="36" spans="1:9" x14ac:dyDescent="0.2">
      <c r="A36" s="50" t="s">
        <v>169</v>
      </c>
      <c r="B36" s="50"/>
      <c r="C36" s="60"/>
      <c r="D36" s="60"/>
      <c r="E36" s="61"/>
      <c r="F36" s="61"/>
    </row>
    <row r="37" spans="1:9" x14ac:dyDescent="0.2">
      <c r="A37" s="51" t="s">
        <v>214</v>
      </c>
      <c r="C37" s="60" t="e">
        <f>'Cash flow proforma 20-21'!#REF!</f>
        <v>#REF!</v>
      </c>
      <c r="D37" s="60" t="e">
        <f t="shared" ref="D37:F40" si="3">C37</f>
        <v>#REF!</v>
      </c>
      <c r="E37" s="60" t="e">
        <f t="shared" si="3"/>
        <v>#REF!</v>
      </c>
      <c r="F37" s="60" t="e">
        <f t="shared" si="3"/>
        <v>#REF!</v>
      </c>
      <c r="H37" s="51" t="s">
        <v>215</v>
      </c>
    </row>
    <row r="38" spans="1:9" x14ac:dyDescent="0.2">
      <c r="A38" s="51" t="s">
        <v>216</v>
      </c>
      <c r="C38" s="60" t="e">
        <f>'Cash flow proforma 20-21'!#REF!</f>
        <v>#REF!</v>
      </c>
      <c r="D38" s="60" t="e">
        <f t="shared" si="3"/>
        <v>#REF!</v>
      </c>
      <c r="E38" s="60" t="e">
        <f t="shared" si="3"/>
        <v>#REF!</v>
      </c>
      <c r="F38" s="60" t="e">
        <f t="shared" si="3"/>
        <v>#REF!</v>
      </c>
      <c r="H38" s="51" t="s">
        <v>215</v>
      </c>
    </row>
    <row r="39" spans="1:9" x14ac:dyDescent="0.2">
      <c r="A39" s="51" t="s">
        <v>217</v>
      </c>
      <c r="C39" s="60" t="e">
        <f>'Cash flow proforma 20-21'!#REF!</f>
        <v>#REF!</v>
      </c>
      <c r="D39" s="60" t="e">
        <f t="shared" si="3"/>
        <v>#REF!</v>
      </c>
      <c r="E39" s="60" t="e">
        <f t="shared" si="3"/>
        <v>#REF!</v>
      </c>
      <c r="F39" s="60" t="e">
        <f t="shared" si="3"/>
        <v>#REF!</v>
      </c>
      <c r="H39" s="51" t="s">
        <v>215</v>
      </c>
    </row>
    <row r="40" spans="1:9" x14ac:dyDescent="0.2">
      <c r="A40" s="51" t="s">
        <v>218</v>
      </c>
      <c r="C40" s="60" t="e">
        <f>'Cash flow proforma 20-21'!#REF!</f>
        <v>#REF!</v>
      </c>
      <c r="D40" s="60" t="e">
        <f t="shared" si="3"/>
        <v>#REF!</v>
      </c>
      <c r="E40" s="60" t="e">
        <f t="shared" si="3"/>
        <v>#REF!</v>
      </c>
      <c r="F40" s="60" t="e">
        <f t="shared" si="3"/>
        <v>#REF!</v>
      </c>
      <c r="H40" s="51" t="s">
        <v>215</v>
      </c>
    </row>
    <row r="41" spans="1:9" x14ac:dyDescent="0.2">
      <c r="A41" s="50" t="s">
        <v>183</v>
      </c>
      <c r="B41" s="50"/>
      <c r="C41" s="61" t="e">
        <f>SUM(C37:C40)</f>
        <v>#REF!</v>
      </c>
      <c r="D41" s="61" t="e">
        <f>SUM(D37:D40)</f>
        <v>#REF!</v>
      </c>
      <c r="E41" s="61" t="e">
        <f>SUM(E37:E40)</f>
        <v>#REF!</v>
      </c>
      <c r="F41" s="61" t="e">
        <f>SUM(F37:F40)</f>
        <v>#REF!</v>
      </c>
    </row>
    <row r="42" spans="1:9" x14ac:dyDescent="0.2">
      <c r="A42" s="50"/>
      <c r="B42" s="50"/>
      <c r="C42" s="61"/>
      <c r="D42" s="61"/>
      <c r="E42" s="61"/>
      <c r="F42" s="61"/>
    </row>
    <row r="43" spans="1:9" x14ac:dyDescent="0.2">
      <c r="A43" s="66" t="s">
        <v>184</v>
      </c>
      <c r="B43" s="66"/>
      <c r="C43" s="67" t="e">
        <f>C33+C41</f>
        <v>#REF!</v>
      </c>
      <c r="D43" s="67" t="e">
        <f>D33+D41</f>
        <v>#REF!</v>
      </c>
      <c r="E43" s="67" t="e">
        <f>E33+E41</f>
        <v>#REF!</v>
      </c>
      <c r="F43" s="67" t="e">
        <f>F33+F41</f>
        <v>#REF!</v>
      </c>
    </row>
    <row r="45" spans="1:9" x14ac:dyDescent="0.2">
      <c r="A45" s="68" t="s">
        <v>219</v>
      </c>
      <c r="B45" s="68"/>
      <c r="C45" s="69" t="e">
        <f>C4+C33+C41</f>
        <v>#REF!</v>
      </c>
      <c r="D45" s="69" t="e">
        <f>D4+D33+D41</f>
        <v>#REF!</v>
      </c>
      <c r="E45" s="69" t="e">
        <f>E4+E33+E41</f>
        <v>#REF!</v>
      </c>
      <c r="F45" s="69" t="e">
        <f>F4+F33+F41</f>
        <v>#REF!</v>
      </c>
      <c r="I45" s="70"/>
    </row>
    <row r="46" spans="1:9" x14ac:dyDescent="0.2">
      <c r="F46" s="53" t="e">
        <f>'Cash flow proforma 20-21'!#REF!</f>
        <v>#REF!</v>
      </c>
      <c r="G46" s="134" t="e">
        <f>F46-F45</f>
        <v>#REF!</v>
      </c>
    </row>
    <row r="47" spans="1:9" s="53" customFormat="1" ht="13.5" thickBot="1" x14ac:dyDescent="0.25">
      <c r="A47" s="51"/>
      <c r="B47" s="51"/>
      <c r="G47" s="54"/>
      <c r="H47" s="51"/>
      <c r="I47" s="51"/>
    </row>
    <row r="48" spans="1:9" s="53" customFormat="1" ht="13.5" thickBot="1" x14ac:dyDescent="0.25">
      <c r="A48" s="71" t="s">
        <v>186</v>
      </c>
      <c r="B48" s="71"/>
      <c r="C48" s="71"/>
      <c r="G48" s="54"/>
      <c r="H48" s="51"/>
      <c r="I48" s="51"/>
    </row>
    <row r="49" spans="1:9" s="53" customFormat="1" x14ac:dyDescent="0.2">
      <c r="A49" s="51" t="s">
        <v>187</v>
      </c>
      <c r="B49" s="51"/>
      <c r="G49" s="54"/>
      <c r="H49" s="51"/>
      <c r="I49" s="51"/>
    </row>
    <row r="50" spans="1:9" s="53" customFormat="1" x14ac:dyDescent="0.2">
      <c r="A50" s="51" t="s">
        <v>188</v>
      </c>
      <c r="B50" s="51"/>
      <c r="G50" s="54"/>
      <c r="H50" s="51"/>
      <c r="I50" s="51"/>
    </row>
    <row r="51" spans="1:9" s="53" customFormat="1" x14ac:dyDescent="0.2">
      <c r="A51" s="51" t="s">
        <v>189</v>
      </c>
      <c r="B51" s="51"/>
      <c r="G51" s="54"/>
      <c r="H51" s="51"/>
      <c r="I51" s="51"/>
    </row>
    <row r="52" spans="1:9" s="53" customFormat="1" x14ac:dyDescent="0.2">
      <c r="A52" s="51" t="s">
        <v>190</v>
      </c>
      <c r="B52" s="51"/>
      <c r="G52" s="54"/>
      <c r="H52" s="51"/>
      <c r="I52" s="51"/>
    </row>
    <row r="53" spans="1:9" s="53" customFormat="1" x14ac:dyDescent="0.2">
      <c r="A53" s="72" t="s">
        <v>191</v>
      </c>
      <c r="B53" s="51"/>
      <c r="G53" s="54"/>
      <c r="H53" s="51"/>
      <c r="I53" s="51"/>
    </row>
    <row r="54" spans="1:9" s="53" customFormat="1" x14ac:dyDescent="0.2">
      <c r="A54" s="73" t="s">
        <v>192</v>
      </c>
      <c r="B54" s="51"/>
      <c r="G54" s="54"/>
      <c r="H54" s="51"/>
      <c r="I54" s="51"/>
    </row>
    <row r="55" spans="1:9" s="53" customFormat="1" x14ac:dyDescent="0.2">
      <c r="A55" s="74" t="s">
        <v>193</v>
      </c>
      <c r="B55" s="51"/>
      <c r="G55" s="54"/>
      <c r="H55" s="51"/>
      <c r="I55" s="51"/>
    </row>
    <row r="56" spans="1:9" s="53" customFormat="1" x14ac:dyDescent="0.2">
      <c r="A56" s="51"/>
      <c r="B56" s="50"/>
      <c r="C56" s="50"/>
      <c r="G56" s="54"/>
      <c r="H56" s="51"/>
      <c r="I56" s="5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tabColor theme="1" tint="4.9989318521683403E-2"/>
  </sheetPr>
  <dimension ref="A1:I57"/>
  <sheetViews>
    <sheetView topLeftCell="A25" zoomScale="80" zoomScaleNormal="80" workbookViewId="0">
      <selection activeCell="F49" sqref="F49"/>
    </sheetView>
  </sheetViews>
  <sheetFormatPr defaultColWidth="9.140625" defaultRowHeight="12.75" x14ac:dyDescent="0.2"/>
  <cols>
    <col min="1" max="1" width="34.7109375" style="51" customWidth="1"/>
    <col min="2" max="2" width="9.5703125" style="51" customWidth="1"/>
    <col min="3" max="3" width="11.85546875" style="53" customWidth="1"/>
    <col min="4" max="4" width="13.140625" style="53" customWidth="1"/>
    <col min="5" max="6" width="11.85546875" style="53" customWidth="1"/>
    <col min="7" max="7" width="9.140625" style="54"/>
    <col min="8" max="8" width="49.7109375" style="51" bestFit="1" customWidth="1"/>
    <col min="9" max="9" width="47.28515625" style="51" bestFit="1" customWidth="1"/>
    <col min="10" max="16384" width="9.140625" style="51"/>
  </cols>
  <sheetData>
    <row r="1" spans="1:9" x14ac:dyDescent="0.2">
      <c r="A1" s="50" t="s">
        <v>142</v>
      </c>
      <c r="C1" s="52" t="s">
        <v>62</v>
      </c>
    </row>
    <row r="2" spans="1:9" x14ac:dyDescent="0.2">
      <c r="A2" s="55" t="s">
        <v>220</v>
      </c>
    </row>
    <row r="3" spans="1:9" x14ac:dyDescent="0.2">
      <c r="A3" s="55"/>
    </row>
    <row r="4" spans="1:9" ht="25.5" x14ac:dyDescent="0.2">
      <c r="A4" s="56" t="s">
        <v>221</v>
      </c>
      <c r="B4" s="57" t="s">
        <v>145</v>
      </c>
      <c r="C4" s="58" t="e">
        <f>'Apr 18'!C54</f>
        <v>#REF!</v>
      </c>
      <c r="D4" s="58" t="e">
        <f>'Apr 18'!D54</f>
        <v>#REF!</v>
      </c>
      <c r="E4" s="58" t="e">
        <f>'Apr 18'!E54</f>
        <v>#REF!</v>
      </c>
      <c r="F4" s="58" t="e">
        <f>'Apr 18'!F54</f>
        <v>#REF!</v>
      </c>
    </row>
    <row r="6" spans="1:9" x14ac:dyDescent="0.2">
      <c r="A6" s="50" t="s">
        <v>146</v>
      </c>
      <c r="B6" s="50"/>
      <c r="C6" s="52" t="s">
        <v>108</v>
      </c>
      <c r="D6" s="52" t="s">
        <v>109</v>
      </c>
      <c r="E6" s="52" t="s">
        <v>147</v>
      </c>
      <c r="F6" s="52" t="s">
        <v>148</v>
      </c>
      <c r="G6" s="59" t="s">
        <v>149</v>
      </c>
      <c r="H6" s="50" t="s">
        <v>150</v>
      </c>
      <c r="I6" s="94" t="s">
        <v>151</v>
      </c>
    </row>
    <row r="7" spans="1:9" x14ac:dyDescent="0.2">
      <c r="C7" s="60"/>
      <c r="D7" s="60"/>
      <c r="E7" s="60"/>
      <c r="F7" s="60"/>
    </row>
    <row r="8" spans="1:9" x14ac:dyDescent="0.2">
      <c r="A8" s="50" t="s">
        <v>56</v>
      </c>
      <c r="B8" s="50"/>
      <c r="C8" s="60"/>
    </row>
    <row r="9" spans="1:9" x14ac:dyDescent="0.2">
      <c r="A9" s="48" t="s">
        <v>152</v>
      </c>
      <c r="B9" s="49" t="s">
        <v>18</v>
      </c>
      <c r="C9" s="60">
        <v>228.75</v>
      </c>
      <c r="D9" s="60">
        <f>C9</f>
        <v>228.75</v>
      </c>
      <c r="E9" s="60">
        <f>D9</f>
        <v>228.75</v>
      </c>
      <c r="F9" s="60">
        <f>E9</f>
        <v>228.75</v>
      </c>
    </row>
    <row r="11" spans="1:9" x14ac:dyDescent="0.2">
      <c r="A11" s="49"/>
      <c r="C11" s="60"/>
      <c r="E11" s="60"/>
      <c r="F11" s="60"/>
    </row>
    <row r="12" spans="1:9" x14ac:dyDescent="0.2">
      <c r="A12" s="49"/>
      <c r="C12" s="60"/>
      <c r="E12" s="60"/>
      <c r="F12" s="60"/>
    </row>
    <row r="13" spans="1:9" x14ac:dyDescent="0.2">
      <c r="A13" s="49"/>
      <c r="C13" s="60"/>
      <c r="E13" s="60"/>
      <c r="F13" s="60"/>
    </row>
    <row r="14" spans="1:9" x14ac:dyDescent="0.2">
      <c r="A14" s="50" t="s">
        <v>57</v>
      </c>
      <c r="C14" s="60"/>
      <c r="D14" s="60"/>
      <c r="E14" s="60"/>
      <c r="F14" s="60"/>
    </row>
    <row r="15" spans="1:9" ht="12" customHeight="1" x14ac:dyDescent="0.2">
      <c r="A15" s="95" t="s">
        <v>222</v>
      </c>
      <c r="B15" s="51" t="s">
        <v>18</v>
      </c>
      <c r="C15" s="60">
        <v>9000</v>
      </c>
      <c r="D15" s="53">
        <v>9000</v>
      </c>
      <c r="E15" s="53">
        <f>D15</f>
        <v>9000</v>
      </c>
      <c r="F15" s="53">
        <f>E15</f>
        <v>9000</v>
      </c>
      <c r="H15" s="51" t="s">
        <v>223</v>
      </c>
    </row>
    <row r="16" spans="1:9" ht="12" customHeight="1" x14ac:dyDescent="0.2">
      <c r="A16" s="48" t="s">
        <v>224</v>
      </c>
      <c r="B16" s="51" t="s">
        <v>18</v>
      </c>
      <c r="C16" s="60">
        <v>5218.58</v>
      </c>
      <c r="D16" s="60">
        <f>C16</f>
        <v>5218.58</v>
      </c>
      <c r="E16" s="53">
        <f>D16</f>
        <v>5218.58</v>
      </c>
      <c r="F16" s="60">
        <f>E16</f>
        <v>5218.58</v>
      </c>
      <c r="G16" s="54" t="s">
        <v>153</v>
      </c>
      <c r="H16" s="51" t="s">
        <v>225</v>
      </c>
    </row>
    <row r="17" spans="1:9" x14ac:dyDescent="0.2">
      <c r="A17" s="48" t="s">
        <v>226</v>
      </c>
      <c r="B17" s="49" t="s">
        <v>18</v>
      </c>
      <c r="C17" s="60">
        <v>125000</v>
      </c>
      <c r="D17" s="60">
        <v>125000</v>
      </c>
      <c r="E17" s="60">
        <v>125000</v>
      </c>
      <c r="F17" s="60">
        <v>125000</v>
      </c>
      <c r="H17" s="51" t="s">
        <v>227</v>
      </c>
    </row>
    <row r="18" spans="1:9" x14ac:dyDescent="0.2">
      <c r="C18" s="60"/>
      <c r="D18" s="60"/>
      <c r="E18" s="60"/>
      <c r="F18" s="60"/>
    </row>
    <row r="19" spans="1:9" x14ac:dyDescent="0.2">
      <c r="A19" s="50" t="s">
        <v>58</v>
      </c>
      <c r="B19" s="50"/>
      <c r="C19" s="60"/>
    </row>
    <row r="20" spans="1:9" x14ac:dyDescent="0.2">
      <c r="A20" s="48" t="s">
        <v>228</v>
      </c>
      <c r="B20" s="49" t="s">
        <v>17</v>
      </c>
      <c r="C20" s="60">
        <v>37142</v>
      </c>
      <c r="D20" s="53">
        <v>37142</v>
      </c>
      <c r="E20" s="60">
        <f t="shared" ref="E20:F22" si="0">D20</f>
        <v>37142</v>
      </c>
      <c r="F20" s="60">
        <f t="shared" si="0"/>
        <v>37142</v>
      </c>
      <c r="G20" s="54" t="s">
        <v>229</v>
      </c>
      <c r="H20" s="51" t="s">
        <v>230</v>
      </c>
      <c r="I20" s="97"/>
    </row>
    <row r="21" spans="1:9" x14ac:dyDescent="0.2">
      <c r="A21" s="95" t="s">
        <v>231</v>
      </c>
      <c r="B21" s="51" t="s">
        <v>18</v>
      </c>
      <c r="C21" s="53">
        <v>150000</v>
      </c>
      <c r="D21" s="53">
        <v>150000</v>
      </c>
      <c r="E21" s="53">
        <f t="shared" si="0"/>
        <v>150000</v>
      </c>
      <c r="F21" s="53">
        <f t="shared" si="0"/>
        <v>150000</v>
      </c>
      <c r="G21" s="54" t="s">
        <v>207</v>
      </c>
      <c r="H21" s="51" t="s">
        <v>232</v>
      </c>
    </row>
    <row r="22" spans="1:9" x14ac:dyDescent="0.2">
      <c r="A22" s="95" t="s">
        <v>233</v>
      </c>
      <c r="B22" s="51" t="s">
        <v>18</v>
      </c>
      <c r="C22" s="60">
        <v>500</v>
      </c>
      <c r="D22" s="53">
        <f>C22</f>
        <v>500</v>
      </c>
      <c r="E22" s="53">
        <f t="shared" si="0"/>
        <v>500</v>
      </c>
      <c r="F22" s="60">
        <f t="shared" si="0"/>
        <v>500</v>
      </c>
    </row>
    <row r="23" spans="1:9" x14ac:dyDescent="0.2">
      <c r="C23" s="60"/>
    </row>
    <row r="24" spans="1:9" x14ac:dyDescent="0.2">
      <c r="C24" s="60"/>
      <c r="D24" s="60"/>
      <c r="E24" s="60"/>
      <c r="F24" s="60"/>
    </row>
    <row r="25" spans="1:9" x14ac:dyDescent="0.2">
      <c r="A25" s="50" t="s">
        <v>157</v>
      </c>
      <c r="B25" s="50"/>
      <c r="C25" s="60"/>
      <c r="D25" s="60"/>
      <c r="E25" s="60"/>
      <c r="F25" s="60"/>
    </row>
    <row r="27" spans="1:9" x14ac:dyDescent="0.2">
      <c r="A27" s="49"/>
      <c r="C27" s="60"/>
      <c r="D27" s="60"/>
      <c r="E27" s="60"/>
      <c r="F27" s="60"/>
      <c r="H27" s="81"/>
    </row>
    <row r="28" spans="1:9" x14ac:dyDescent="0.2">
      <c r="A28" s="50" t="s">
        <v>133</v>
      </c>
      <c r="B28" s="49"/>
      <c r="C28" s="60"/>
      <c r="D28" s="60"/>
      <c r="E28" s="60"/>
      <c r="F28" s="60"/>
      <c r="H28" s="135"/>
    </row>
    <row r="29" spans="1:9" x14ac:dyDescent="0.2">
      <c r="A29" s="48" t="s">
        <v>234</v>
      </c>
      <c r="B29" s="49" t="s">
        <v>18</v>
      </c>
      <c r="C29" s="60">
        <v>829.14</v>
      </c>
      <c r="D29" s="60">
        <v>829.14</v>
      </c>
      <c r="E29" s="60">
        <v>829.14</v>
      </c>
      <c r="F29" s="60">
        <v>829.14</v>
      </c>
    </row>
    <row r="30" spans="1:9" x14ac:dyDescent="0.2">
      <c r="A30" s="48" t="s">
        <v>235</v>
      </c>
      <c r="B30" s="49" t="s">
        <v>18</v>
      </c>
      <c r="C30" s="60">
        <v>95</v>
      </c>
      <c r="D30" s="60">
        <f>C30</f>
        <v>95</v>
      </c>
      <c r="E30" s="60">
        <f>D30</f>
        <v>95</v>
      </c>
      <c r="F30" s="60">
        <f>E30</f>
        <v>95</v>
      </c>
    </row>
    <row r="32" spans="1:9" x14ac:dyDescent="0.2">
      <c r="C32" s="60"/>
      <c r="E32" s="60"/>
      <c r="F32" s="60"/>
    </row>
    <row r="33" spans="1:9" x14ac:dyDescent="0.2">
      <c r="A33" s="50" t="s">
        <v>168</v>
      </c>
      <c r="B33" s="50"/>
      <c r="C33" s="61">
        <f>SUM(C7:C32)</f>
        <v>328013.46999999997</v>
      </c>
      <c r="D33" s="61">
        <f>SUM(D7:D32)</f>
        <v>328013.46999999997</v>
      </c>
      <c r="E33" s="61">
        <f>SUM(E7:E32)</f>
        <v>328013.46999999997</v>
      </c>
      <c r="F33" s="61">
        <f>SUM(F7:F32)</f>
        <v>328013.46999999997</v>
      </c>
    </row>
    <row r="34" spans="1:9" x14ac:dyDescent="0.2">
      <c r="C34" s="60"/>
      <c r="D34" s="60"/>
      <c r="E34" s="60"/>
      <c r="F34" s="60"/>
    </row>
    <row r="35" spans="1:9" x14ac:dyDescent="0.2">
      <c r="A35" s="62"/>
      <c r="B35" s="62"/>
      <c r="C35" s="63"/>
      <c r="D35" s="63"/>
      <c r="E35" s="64"/>
      <c r="F35" s="64"/>
      <c r="G35" s="65"/>
      <c r="H35" s="62"/>
    </row>
    <row r="36" spans="1:9" x14ac:dyDescent="0.2">
      <c r="A36" s="50" t="s">
        <v>169</v>
      </c>
      <c r="B36" s="50"/>
      <c r="C36" s="60"/>
      <c r="D36" s="60"/>
      <c r="E36" s="61"/>
      <c r="F36" s="61"/>
    </row>
    <row r="37" spans="1:9" x14ac:dyDescent="0.2">
      <c r="A37" s="51" t="s">
        <v>236</v>
      </c>
      <c r="C37" s="60" t="e">
        <f>'Cash flow proforma 20-21'!#REF!</f>
        <v>#REF!</v>
      </c>
      <c r="D37" s="60" t="e">
        <f>C37</f>
        <v>#REF!</v>
      </c>
      <c r="E37" s="60" t="e">
        <f>D37</f>
        <v>#REF!</v>
      </c>
      <c r="F37" s="60" t="e">
        <f>E37</f>
        <v>#REF!</v>
      </c>
    </row>
    <row r="38" spans="1:9" x14ac:dyDescent="0.2">
      <c r="A38" s="51" t="s">
        <v>237</v>
      </c>
      <c r="C38" s="60" t="e">
        <f>'Cash flow proforma 20-21'!#REF!</f>
        <v>#REF!</v>
      </c>
      <c r="D38" s="60" t="e">
        <f t="shared" ref="D38:E41" si="1">C38</f>
        <v>#REF!</v>
      </c>
      <c r="E38" s="60" t="e">
        <f t="shared" si="1"/>
        <v>#REF!</v>
      </c>
      <c r="F38" s="60" t="e">
        <f>E38</f>
        <v>#REF!</v>
      </c>
    </row>
    <row r="39" spans="1:9" x14ac:dyDescent="0.2">
      <c r="A39" s="51" t="s">
        <v>238</v>
      </c>
      <c r="C39" s="60" t="e">
        <f>'Cash flow proforma 20-21'!#REF!</f>
        <v>#REF!</v>
      </c>
      <c r="D39" s="60" t="e">
        <f t="shared" si="1"/>
        <v>#REF!</v>
      </c>
      <c r="E39" s="60" t="e">
        <f t="shared" si="1"/>
        <v>#REF!</v>
      </c>
      <c r="F39" s="60" t="e">
        <f>E39</f>
        <v>#REF!</v>
      </c>
    </row>
    <row r="40" spans="1:9" x14ac:dyDescent="0.2">
      <c r="A40" s="51" t="s">
        <v>239</v>
      </c>
      <c r="C40" s="60" t="e">
        <f>'Cash flow proforma 20-21'!#REF!</f>
        <v>#REF!</v>
      </c>
      <c r="D40" s="60" t="e">
        <f t="shared" si="1"/>
        <v>#REF!</v>
      </c>
      <c r="E40" s="60" t="e">
        <f t="shared" si="1"/>
        <v>#REF!</v>
      </c>
      <c r="F40" s="60" t="e">
        <f>E40</f>
        <v>#REF!</v>
      </c>
    </row>
    <row r="41" spans="1:9" x14ac:dyDescent="0.2">
      <c r="A41" s="51" t="s">
        <v>240</v>
      </c>
      <c r="C41" s="60" t="e">
        <f>'Cash flow proforma 20-21'!#REF!</f>
        <v>#REF!</v>
      </c>
      <c r="D41" s="60" t="e">
        <f t="shared" si="1"/>
        <v>#REF!</v>
      </c>
      <c r="E41" s="60" t="e">
        <f t="shared" si="1"/>
        <v>#REF!</v>
      </c>
      <c r="F41" s="60" t="e">
        <f>E41</f>
        <v>#REF!</v>
      </c>
    </row>
    <row r="42" spans="1:9" x14ac:dyDescent="0.2">
      <c r="A42" s="50" t="s">
        <v>183</v>
      </c>
      <c r="B42" s="50"/>
      <c r="C42" s="61" t="e">
        <f>SUM(C37:C41)</f>
        <v>#REF!</v>
      </c>
      <c r="D42" s="61" t="e">
        <f>SUM(D37:D41)</f>
        <v>#REF!</v>
      </c>
      <c r="E42" s="61" t="e">
        <f>SUM(E37:E41)</f>
        <v>#REF!</v>
      </c>
      <c r="F42" s="61" t="e">
        <f>SUM(F37:F41)</f>
        <v>#REF!</v>
      </c>
    </row>
    <row r="43" spans="1:9" x14ac:dyDescent="0.2">
      <c r="A43" s="50"/>
      <c r="B43" s="50"/>
      <c r="C43" s="61"/>
      <c r="D43" s="61"/>
      <c r="E43" s="61"/>
      <c r="F43" s="61"/>
    </row>
    <row r="44" spans="1:9" x14ac:dyDescent="0.2">
      <c r="A44" s="66" t="s">
        <v>184</v>
      </c>
      <c r="B44" s="66"/>
      <c r="C44" s="67" t="e">
        <f>C33+C42</f>
        <v>#REF!</v>
      </c>
      <c r="D44" s="67" t="e">
        <f>D33+D42</f>
        <v>#REF!</v>
      </c>
      <c r="E44" s="67" t="e">
        <f>E33+E42</f>
        <v>#REF!</v>
      </c>
      <c r="F44" s="67" t="e">
        <f>F33+F42</f>
        <v>#REF!</v>
      </c>
    </row>
    <row r="46" spans="1:9" x14ac:dyDescent="0.2">
      <c r="A46" s="68" t="s">
        <v>241</v>
      </c>
      <c r="B46" s="68"/>
      <c r="C46" s="69" t="e">
        <f>C4+C33+C42</f>
        <v>#REF!</v>
      </c>
      <c r="D46" s="69" t="e">
        <f>D4+D33+D42</f>
        <v>#REF!</v>
      </c>
      <c r="E46" s="69" t="e">
        <f>E4+E33+E42</f>
        <v>#REF!</v>
      </c>
      <c r="F46" s="69" t="e">
        <f>F4+F33+F42</f>
        <v>#REF!</v>
      </c>
      <c r="I46" s="70"/>
    </row>
    <row r="47" spans="1:9" x14ac:dyDescent="0.2">
      <c r="F47" s="122" t="e">
        <f>204582.4-F46</f>
        <v>#REF!</v>
      </c>
      <c r="H47" s="121" t="s">
        <v>242</v>
      </c>
    </row>
    <row r="48" spans="1:9" s="53" customFormat="1" ht="13.5" thickBot="1" x14ac:dyDescent="0.25">
      <c r="A48" s="51"/>
      <c r="B48" s="51"/>
      <c r="G48" s="54"/>
      <c r="H48" s="51"/>
      <c r="I48" s="51"/>
    </row>
    <row r="49" spans="1:9" s="53" customFormat="1" ht="13.5" thickBot="1" x14ac:dyDescent="0.25">
      <c r="A49" s="71" t="s">
        <v>186</v>
      </c>
      <c r="B49" s="71"/>
      <c r="C49" s="71"/>
      <c r="G49" s="54"/>
      <c r="H49" s="51"/>
      <c r="I49" s="51"/>
    </row>
    <row r="50" spans="1:9" s="53" customFormat="1" x14ac:dyDescent="0.2">
      <c r="A50" s="51" t="s">
        <v>187</v>
      </c>
      <c r="B50" s="51"/>
      <c r="G50" s="54"/>
      <c r="H50" s="51"/>
      <c r="I50" s="51"/>
    </row>
    <row r="51" spans="1:9" s="53" customFormat="1" x14ac:dyDescent="0.2">
      <c r="A51" s="51" t="s">
        <v>188</v>
      </c>
      <c r="B51" s="51"/>
      <c r="G51" s="54"/>
      <c r="H51" s="51"/>
      <c r="I51" s="51"/>
    </row>
    <row r="52" spans="1:9" s="53" customFormat="1" x14ac:dyDescent="0.2">
      <c r="A52" s="51" t="s">
        <v>189</v>
      </c>
      <c r="B52" s="51"/>
      <c r="G52" s="54"/>
      <c r="H52" s="51"/>
      <c r="I52" s="51"/>
    </row>
    <row r="53" spans="1:9" s="53" customFormat="1" x14ac:dyDescent="0.2">
      <c r="A53" s="51" t="s">
        <v>190</v>
      </c>
      <c r="B53" s="51"/>
      <c r="G53" s="54"/>
      <c r="H53" s="51"/>
      <c r="I53" s="51"/>
    </row>
    <row r="54" spans="1:9" s="53" customFormat="1" x14ac:dyDescent="0.2">
      <c r="A54" s="72" t="s">
        <v>191</v>
      </c>
      <c r="B54" s="51"/>
      <c r="G54" s="54"/>
      <c r="H54" s="51"/>
      <c r="I54" s="51"/>
    </row>
    <row r="55" spans="1:9" s="53" customFormat="1" x14ac:dyDescent="0.2">
      <c r="A55" s="73" t="s">
        <v>192</v>
      </c>
      <c r="B55" s="51"/>
      <c r="G55" s="54"/>
      <c r="H55" s="51"/>
      <c r="I55" s="51"/>
    </row>
    <row r="56" spans="1:9" s="53" customFormat="1" x14ac:dyDescent="0.2">
      <c r="A56" s="74" t="s">
        <v>193</v>
      </c>
      <c r="B56" s="51"/>
      <c r="G56" s="54"/>
      <c r="H56" s="51"/>
      <c r="I56" s="51"/>
    </row>
    <row r="57" spans="1:9" s="53" customFormat="1" x14ac:dyDescent="0.2">
      <c r="A57" s="51"/>
      <c r="B57" s="50"/>
      <c r="C57" s="50"/>
      <c r="G57" s="54"/>
      <c r="H57" s="51"/>
      <c r="I57" s="5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64728f66-149a-48ba-ac6b-50203a2b2067">YMNH3RYZFAQR-1-391646</_dlc_DocId>
    <_dlc_DocIdUrl xmlns="64728f66-149a-48ba-ac6b-50203a2b2067">
      <Url>https://sportedfoundation225.sharepoint.com/sites/General/_layouts/15/DocIdRedir.aspx?ID=YMNH3RYZFAQR-1-391646</Url>
      <Description>YMNH3RYZFAQR-1-391646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6FBD7F05D15548BBD26735EDF437E2" ma:contentTypeVersion="19" ma:contentTypeDescription="Create a new document." ma:contentTypeScope="" ma:versionID="d9c9e36189c1f9705852d58812cacece">
  <xsd:schema xmlns:xsd="http://www.w3.org/2001/XMLSchema" xmlns:xs="http://www.w3.org/2001/XMLSchema" xmlns:p="http://schemas.microsoft.com/office/2006/metadata/properties" xmlns:ns2="64728f66-149a-48ba-ac6b-50203a2b2067" xmlns:ns3="http://schemas.microsoft.com/sharepoint/v4" xmlns:ns4="4337aca7-0692-409b-a0c1-17c7a1704a94" targetNamespace="http://schemas.microsoft.com/office/2006/metadata/properties" ma:root="true" ma:fieldsID="b5cc82742e8abc8e148a642c3db8ab34" ns2:_="" ns3:_="" ns4:_="">
    <xsd:import namespace="64728f66-149a-48ba-ac6b-50203a2b2067"/>
    <xsd:import namespace="http://schemas.microsoft.com/sharepoint/v4"/>
    <xsd:import namespace="4337aca7-0692-409b-a0c1-17c7a1704a9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IconOverlay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28f66-149a-48ba-ac6b-50203a2b20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7aca7-0692-409b-a0c1-17c7a1704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0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E1B4C3-0873-4FC8-B5E7-D90880DAF15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785D2A7-3AD0-4A55-B9EB-C3543BDA9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804908-4776-4E96-A15A-A1044F8DD48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6121a4d6-65db-4d70-a200-4931150941f0"/>
    <ds:schemaRef ds:uri="http://www.w3.org/XML/1998/namespace"/>
    <ds:schemaRef ds:uri="http://purl.org/dc/dcmitype/"/>
    <ds:schemaRef ds:uri="http://schemas.microsoft.com/sharepoint/v4"/>
    <ds:schemaRef ds:uri="64728f66-149a-48ba-ac6b-50203a2b2067"/>
  </ds:schemaRefs>
</ds:datastoreItem>
</file>

<file path=customXml/itemProps4.xml><?xml version="1.0" encoding="utf-8"?>
<ds:datastoreItem xmlns:ds="http://schemas.openxmlformats.org/officeDocument/2006/customXml" ds:itemID="{D4EADCA4-6878-4465-9E68-950FB2BC3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28f66-149a-48ba-ac6b-50203a2b2067"/>
    <ds:schemaRef ds:uri="http://schemas.microsoft.com/sharepoint/v4"/>
    <ds:schemaRef ds:uri="4337aca7-0692-409b-a0c1-17c7a1704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4</vt:i4>
      </vt:variant>
    </vt:vector>
  </HeadingPairs>
  <TitlesOfParts>
    <vt:vector size="32" baseType="lpstr">
      <vt:lpstr> Reserves no deferrals</vt:lpstr>
      <vt:lpstr>Cash flow proforma 20-21</vt:lpstr>
      <vt:lpstr>Sheet1</vt:lpstr>
      <vt:lpstr>NEW MAIN</vt:lpstr>
      <vt:lpstr>Summary and scenarios</vt:lpstr>
      <vt:lpstr>DATA</vt:lpstr>
      <vt:lpstr>Jul 18</vt:lpstr>
      <vt:lpstr>June 18</vt:lpstr>
      <vt:lpstr>May 18</vt:lpstr>
      <vt:lpstr>Apr Zoom</vt:lpstr>
      <vt:lpstr>Apr 18</vt:lpstr>
      <vt:lpstr>Mar Zoom</vt:lpstr>
      <vt:lpstr>Mar 18</vt:lpstr>
      <vt:lpstr>Feb Zoom</vt:lpstr>
      <vt:lpstr>Feb 18</vt:lpstr>
      <vt:lpstr>Jan Zoom</vt:lpstr>
      <vt:lpstr>Jan 18</vt:lpstr>
      <vt:lpstr>Dec Zoom</vt:lpstr>
      <vt:lpstr>Dec</vt:lpstr>
      <vt:lpstr>Nov</vt:lpstr>
      <vt:lpstr>Oct</vt:lpstr>
      <vt:lpstr>May</vt:lpstr>
      <vt:lpstr>Mar</vt:lpstr>
      <vt:lpstr>Feb</vt:lpstr>
      <vt:lpstr>Jan</vt:lpstr>
      <vt:lpstr>Qtr cf report</vt:lpstr>
      <vt:lpstr>Graphs</vt:lpstr>
      <vt:lpstr>MAIN</vt:lpstr>
      <vt:lpstr>' Reserves no deferrals'!Print_Area</vt:lpstr>
      <vt:lpstr>'Cash flow proforma 20-21'!Print_Area</vt:lpstr>
      <vt:lpstr>'Summary and scenarios'!Print_Area</vt:lpstr>
      <vt:lpstr>'Cash flow proforma 20-21'!Print_Titles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spo-s.skillman</dc:creator>
  <cp:keywords>Cashflow</cp:keywords>
  <dc:description/>
  <cp:lastModifiedBy>Evan Whetsell</cp:lastModifiedBy>
  <cp:revision/>
  <cp:lastPrinted>2020-03-31T17:17:56Z</cp:lastPrinted>
  <dcterms:created xsi:type="dcterms:W3CDTF">2017-01-11T09:22:06Z</dcterms:created>
  <dcterms:modified xsi:type="dcterms:W3CDTF">2020-11-09T22:30:47Z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0x010100216FBD7F05D15548BBD26735EDF437E2</vt:lpwstr>
  </property>
  <property fmtid="{D5CDD505-2E9C-101B-9397-08002B2CF9AE}" pid="3" name="_dlc_DocIdItemGuid">
    <vt:lpwstr>eb9627e0-6913-441f-a079-3fae636fca23</vt:lpwstr>
  </property>
  <property fmtid="{D5CDD505-2E9C-101B-9397-08002B2CF9AE}" pid="4" name="AuthorIds_UIVersion_512">
    <vt:lpwstr>86</vt:lpwstr>
  </property>
  <property fmtid="{D5CDD505-2E9C-101B-9397-08002B2CF9AE}" pid="5" name="AuthorIds_UIVersion_8704">
    <vt:lpwstr>41</vt:lpwstr>
  </property>
  <property fmtid="{D5CDD505-2E9C-101B-9397-08002B2CF9AE}" pid="6" name="AuthorIds_UIVersion_1024">
    <vt:lpwstr>41</vt:lpwstr>
  </property>
  <property fmtid="{D5CDD505-2E9C-101B-9397-08002B2CF9AE}" pid="7" name="AuthorIds_UIVersion_3072">
    <vt:lpwstr>41</vt:lpwstr>
  </property>
</Properties>
</file>